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Arbeit\Installationsrohre\Kunden ab 2017\Angebot 2020\"/>
    </mc:Choice>
  </mc:AlternateContent>
  <xr:revisionPtr revIDLastSave="0" documentId="13_ncr:1_{33158C08-CF7E-4698-86FB-CF4593F35893}" xr6:coauthVersionLast="45" xr6:coauthVersionMax="45" xr10:uidLastSave="{00000000-0000-0000-0000-000000000000}"/>
  <bookViews>
    <workbookView xWindow="-110" yWindow="-110" windowWidth="19420" windowHeight="10420" tabRatio="833" xr2:uid="{00000000-000D-0000-FFFF-FFFF00000000}"/>
  </bookViews>
  <sheets>
    <sheet name="Расчёт TECTUBE" sheetId="13" r:id="rId1"/>
    <sheet name="Нагрузка на оси" sheetId="19" r:id="rId2"/>
  </sheets>
  <definedNames>
    <definedName name="_xlnm._FilterDatabase" localSheetId="0" hidden="1">'Расчёт TECTUBE'!$J$4:$J$95</definedName>
    <definedName name="база">'Нагрузка на оси'!$C$11</definedName>
    <definedName name="базатяг">'Нагрузка на оси'!$C$8</definedName>
    <definedName name="вес1">'Нагрузка на оси'!$C$18</definedName>
    <definedName name="вес10">'Нагрузка на оси'!$C$27</definedName>
    <definedName name="вес2">'Нагрузка на оси'!$C$19</definedName>
    <definedName name="вес3">'Нагрузка на оси'!$C$20</definedName>
    <definedName name="вес4">'Нагрузка на оси'!$C$21</definedName>
    <definedName name="вес5">'Нагрузка на оси'!$C$22</definedName>
    <definedName name="вес6">'Нагрузка на оси'!$C$23</definedName>
    <definedName name="вес7">'Нагрузка на оси'!$C$24</definedName>
    <definedName name="вес8">'Нагрузка на оси'!$C$25</definedName>
    <definedName name="вес9">'Нагрузка на оси'!$C$26</definedName>
    <definedName name="веспр">'Нагрузка на оси'!$C$10</definedName>
    <definedName name="дл1">'Нагрузка на оси'!$B$18</definedName>
    <definedName name="дл10">'Нагрузка на оси'!$B$27</definedName>
    <definedName name="дл2">'Нагрузка на оси'!$B$19</definedName>
    <definedName name="дл3">'Нагрузка на оси'!$B$20</definedName>
    <definedName name="дл4">'Нагрузка на оси'!$B$21</definedName>
    <definedName name="дл5">'Нагрузка на оси'!$B$22</definedName>
    <definedName name="дл6">'Нагрузка на оси'!$B$23</definedName>
    <definedName name="дл7">'Нагрузка на оси'!$B$24</definedName>
    <definedName name="дл8">'Нагрузка на оси'!$B$25</definedName>
    <definedName name="дл9">'Нагрузка на оси'!$B$26</definedName>
    <definedName name="длинаПП">'Нагрузка на оси'!$C$15</definedName>
    <definedName name="_xlnm.Print_Area" localSheetId="0">'Расчёт TECTUBE'!$A$1:$AB$96</definedName>
    <definedName name="осьпр">'Нагрузка на оси'!$C$12</definedName>
    <definedName name="седло">'Нагрузка на оси'!$C$7</definedName>
    <definedName name="шквзт">'Нагрузка на оси'!$C$14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13" l="1"/>
  <c r="O31" i="19" l="1"/>
  <c r="O30" i="19"/>
  <c r="O29" i="19"/>
  <c r="O28" i="19"/>
  <c r="C28" i="19"/>
  <c r="B28" i="19"/>
  <c r="O27" i="19"/>
  <c r="O26" i="19"/>
  <c r="O25" i="19"/>
  <c r="O24" i="19"/>
  <c r="O23" i="19"/>
  <c r="O22" i="19"/>
  <c r="M16" i="19"/>
  <c r="N16" i="19" s="1"/>
  <c r="G14" i="19"/>
  <c r="H15" i="19" s="1"/>
  <c r="C6" i="19"/>
  <c r="H13" i="19" s="1"/>
  <c r="C5" i="19"/>
  <c r="E13" i="19" s="1"/>
  <c r="G18" i="19" l="1"/>
  <c r="H19" i="19" s="1"/>
  <c r="H20" i="19" s="1"/>
  <c r="L16" i="19"/>
  <c r="H16" i="19"/>
  <c r="E15" i="19"/>
  <c r="E16" i="19" s="1"/>
  <c r="M20" i="19" l="1"/>
  <c r="E19" i="19"/>
  <c r="E20" i="19" s="1"/>
  <c r="M19" i="19"/>
  <c r="N20" i="19"/>
  <c r="L20" i="19"/>
  <c r="V5" i="13" l="1"/>
  <c r="R5" i="13" s="1"/>
  <c r="V6" i="13"/>
  <c r="R6" i="13" s="1"/>
  <c r="N6" i="13" s="1"/>
  <c r="V7" i="13"/>
  <c r="R7" i="13" s="1"/>
  <c r="AA7" i="13" s="1"/>
  <c r="V8" i="13"/>
  <c r="R8" i="13" s="1"/>
  <c r="V9" i="13"/>
  <c r="R9" i="13" s="1"/>
  <c r="S9" i="13" s="1"/>
  <c r="V10" i="13"/>
  <c r="R10" i="13" s="1"/>
  <c r="AA10" i="13" s="1"/>
  <c r="V11" i="13"/>
  <c r="R11" i="13" s="1"/>
  <c r="V12" i="13"/>
  <c r="R12" i="13" s="1"/>
  <c r="AA12" i="13" s="1"/>
  <c r="V13" i="13"/>
  <c r="R13" i="13" s="1"/>
  <c r="AA13" i="13" s="1"/>
  <c r="V14" i="13"/>
  <c r="R14" i="13" s="1"/>
  <c r="AA14" i="13" s="1"/>
  <c r="V15" i="13"/>
  <c r="V16" i="13"/>
  <c r="R16" i="13" s="1"/>
  <c r="AA16" i="13" s="1"/>
  <c r="V17" i="13"/>
  <c r="R17" i="13" s="1"/>
  <c r="S17" i="13" s="1"/>
  <c r="V18" i="13"/>
  <c r="R18" i="13" s="1"/>
  <c r="S18" i="13" s="1"/>
  <c r="V19" i="13"/>
  <c r="R19" i="13" s="1"/>
  <c r="N19" i="13" s="1"/>
  <c r="O19" i="13" s="1"/>
  <c r="W19" i="13" s="1"/>
  <c r="V20" i="13"/>
  <c r="R20" i="13" s="1"/>
  <c r="N93" i="13" s="1"/>
  <c r="V21" i="13"/>
  <c r="R21" i="13" s="1"/>
  <c r="AA21" i="13" s="1"/>
  <c r="V22" i="13"/>
  <c r="V23" i="13"/>
  <c r="R23" i="13" s="1"/>
  <c r="S23" i="13" s="1"/>
  <c r="V24" i="13"/>
  <c r="R24" i="13" s="1"/>
  <c r="V25" i="13"/>
  <c r="R25" i="13" s="1"/>
  <c r="S25" i="13" s="1"/>
  <c r="V26" i="13"/>
  <c r="R26" i="13" s="1"/>
  <c r="AA26" i="13" s="1"/>
  <c r="V27" i="13"/>
  <c r="R27" i="13" s="1"/>
  <c r="S27" i="13" s="1"/>
  <c r="V28" i="13"/>
  <c r="R28" i="13" s="1"/>
  <c r="V29" i="13"/>
  <c r="R29" i="13" s="1"/>
  <c r="AA29" i="13" s="1"/>
  <c r="V30" i="13"/>
  <c r="R30" i="13" s="1"/>
  <c r="S30" i="13" s="1"/>
  <c r="V31" i="13"/>
  <c r="R31" i="13" s="1"/>
  <c r="S31" i="13" s="1"/>
  <c r="V32" i="13"/>
  <c r="R32" i="13" s="1"/>
  <c r="V33" i="13"/>
  <c r="R33" i="13" s="1"/>
  <c r="V34" i="13"/>
  <c r="R34" i="13" s="1"/>
  <c r="N34" i="13" s="1"/>
  <c r="O34" i="13" s="1"/>
  <c r="W34" i="13" s="1"/>
  <c r="V35" i="13"/>
  <c r="V36" i="13"/>
  <c r="R36" i="13" s="1"/>
  <c r="AA36" i="13" s="1"/>
  <c r="V37" i="13"/>
  <c r="R37" i="13" s="1"/>
  <c r="S37" i="13" s="1"/>
  <c r="V38" i="13"/>
  <c r="R38" i="13" s="1"/>
  <c r="S38" i="13" s="1"/>
  <c r="V39" i="13"/>
  <c r="R39" i="13" s="1"/>
  <c r="S39" i="13" s="1"/>
  <c r="V40" i="13"/>
  <c r="R40" i="13" s="1"/>
  <c r="V41" i="13"/>
  <c r="R41" i="13" s="1"/>
  <c r="AA41" i="13" s="1"/>
  <c r="V42" i="13"/>
  <c r="R42" i="13" s="1"/>
  <c r="V43" i="13"/>
  <c r="R43" i="13" s="1"/>
  <c r="V44" i="13"/>
  <c r="R44" i="13" s="1"/>
  <c r="AA44" i="13" s="1"/>
  <c r="V45" i="13"/>
  <c r="R45" i="13" s="1"/>
  <c r="S45" i="13" s="1"/>
  <c r="V46" i="13"/>
  <c r="R46" i="13" s="1"/>
  <c r="S46" i="13" s="1"/>
  <c r="V47" i="13"/>
  <c r="R47" i="13" s="1"/>
  <c r="S47" i="13" s="1"/>
  <c r="V48" i="13"/>
  <c r="R48" i="13" s="1"/>
  <c r="AA48" i="13" s="1"/>
  <c r="V49" i="13"/>
  <c r="R49" i="13" s="1"/>
  <c r="AA49" i="13" s="1"/>
  <c r="V50" i="13"/>
  <c r="R50" i="13" s="1"/>
  <c r="V51" i="13"/>
  <c r="R51" i="13" s="1"/>
  <c r="AA51" i="13" s="1"/>
  <c r="V52" i="13"/>
  <c r="R52" i="13" s="1"/>
  <c r="AA52" i="13" s="1"/>
  <c r="V53" i="13"/>
  <c r="R53" i="13" s="1"/>
  <c r="S53" i="13" s="1"/>
  <c r="V54" i="13"/>
  <c r="R54" i="13" s="1"/>
  <c r="V55" i="13"/>
  <c r="R55" i="13" s="1"/>
  <c r="S55" i="13" s="1"/>
  <c r="V56" i="13"/>
  <c r="R56" i="13" s="1"/>
  <c r="V57" i="13"/>
  <c r="R57" i="13" s="1"/>
  <c r="S57" i="13" s="1"/>
  <c r="V58" i="13"/>
  <c r="R58" i="13" s="1"/>
  <c r="V59" i="13"/>
  <c r="R59" i="13" s="1"/>
  <c r="AA59" i="13" s="1"/>
  <c r="V60" i="13"/>
  <c r="R60" i="13" s="1"/>
  <c r="V61" i="13"/>
  <c r="R61" i="13" s="1"/>
  <c r="S61" i="13" s="1"/>
  <c r="V62" i="13"/>
  <c r="R62" i="13" s="1"/>
  <c r="S62" i="13" s="1"/>
  <c r="V63" i="13"/>
  <c r="R63" i="13" s="1"/>
  <c r="AA63" i="13" s="1"/>
  <c r="V64" i="13"/>
  <c r="R64" i="13" s="1"/>
  <c r="V65" i="13"/>
  <c r="R65" i="13" s="1"/>
  <c r="AA65" i="13" s="1"/>
  <c r="V66" i="13"/>
  <c r="R66" i="13" s="1"/>
  <c r="AA66" i="13" s="1"/>
  <c r="V67" i="13"/>
  <c r="R67" i="13" s="1"/>
  <c r="S67" i="13" s="1"/>
  <c r="V68" i="13"/>
  <c r="R68" i="13" s="1"/>
  <c r="V69" i="13"/>
  <c r="R69" i="13" s="1"/>
  <c r="V70" i="13"/>
  <c r="R70" i="13" s="1"/>
  <c r="S70" i="13" s="1"/>
  <c r="V71" i="13"/>
  <c r="R71" i="13" s="1"/>
  <c r="N71" i="13" s="1"/>
  <c r="O71" i="13" s="1"/>
  <c r="V72" i="13"/>
  <c r="V73" i="13"/>
  <c r="R73" i="13" s="1"/>
  <c r="AA73" i="13" s="1"/>
  <c r="V74" i="13"/>
  <c r="R74" i="13" s="1"/>
  <c r="AA74" i="13" s="1"/>
  <c r="V75" i="13"/>
  <c r="R75" i="13" s="1"/>
  <c r="S75" i="13" s="1"/>
  <c r="V76" i="13"/>
  <c r="R76" i="13" s="1"/>
  <c r="AA76" i="13" s="1"/>
  <c r="V77" i="13"/>
  <c r="R77" i="13" s="1"/>
  <c r="S77" i="13" s="1"/>
  <c r="V78" i="13"/>
  <c r="R78" i="13" s="1"/>
  <c r="S78" i="13" s="1"/>
  <c r="V79" i="13"/>
  <c r="R79" i="13" s="1"/>
  <c r="AA79" i="13" s="1"/>
  <c r="V80" i="13"/>
  <c r="R80" i="13" s="1"/>
  <c r="V81" i="13"/>
  <c r="R81" i="13" s="1"/>
  <c r="S81" i="13" s="1"/>
  <c r="V82" i="13"/>
  <c r="R82" i="13" s="1"/>
  <c r="S82" i="13" s="1"/>
  <c r="V83" i="13"/>
  <c r="R83" i="13" s="1"/>
  <c r="S83" i="13" s="1"/>
  <c r="V84" i="13"/>
  <c r="R84" i="13" s="1"/>
  <c r="N84" i="13" s="1"/>
  <c r="O84" i="13" s="1"/>
  <c r="V85" i="13"/>
  <c r="R85" i="13" s="1"/>
  <c r="S85" i="13" s="1"/>
  <c r="Z34" i="13" l="1"/>
  <c r="X34" i="13"/>
  <c r="N56" i="13"/>
  <c r="O56" i="13" s="1"/>
  <c r="W56" i="13" s="1"/>
  <c r="N94" i="13"/>
  <c r="Z19" i="13"/>
  <c r="X19" i="13"/>
  <c r="S11" i="13"/>
  <c r="N92" i="13"/>
  <c r="S5" i="13"/>
  <c r="O6" i="13"/>
  <c r="W6" i="13" s="1"/>
  <c r="S54" i="13"/>
  <c r="N9" i="13"/>
  <c r="O9" i="13" s="1"/>
  <c r="U9" i="13" s="1"/>
  <c r="AA47" i="13"/>
  <c r="AA39" i="13"/>
  <c r="N61" i="13"/>
  <c r="O61" i="13" s="1"/>
  <c r="W61" i="13" s="1"/>
  <c r="AA71" i="13"/>
  <c r="AA17" i="13"/>
  <c r="S69" i="13"/>
  <c r="AA69" i="13"/>
  <c r="S42" i="13"/>
  <c r="AA42" i="13"/>
  <c r="AA54" i="13"/>
  <c r="AA34" i="13"/>
  <c r="AA77" i="13"/>
  <c r="AA61" i="13"/>
  <c r="N70" i="13"/>
  <c r="O70" i="13" s="1"/>
  <c r="W70" i="13" s="1"/>
  <c r="S6" i="13"/>
  <c r="AA82" i="13"/>
  <c r="AA57" i="13"/>
  <c r="AA19" i="13"/>
  <c r="AA85" i="13"/>
  <c r="N28" i="13"/>
  <c r="O28" i="13" s="1"/>
  <c r="W28" i="13" s="1"/>
  <c r="AA28" i="13"/>
  <c r="S28" i="13"/>
  <c r="S68" i="13"/>
  <c r="AA68" i="13"/>
  <c r="N68" i="13"/>
  <c r="O68" i="13" s="1"/>
  <c r="W68" i="13" s="1"/>
  <c r="S40" i="13"/>
  <c r="AA40" i="13"/>
  <c r="S24" i="13"/>
  <c r="AA24" i="13"/>
  <c r="S8" i="13"/>
  <c r="AA8" i="13"/>
  <c r="AA56" i="13"/>
  <c r="S50" i="13"/>
  <c r="AA50" i="13"/>
  <c r="N43" i="13"/>
  <c r="O43" i="13" s="1"/>
  <c r="W43" i="13" s="1"/>
  <c r="AA43" i="13"/>
  <c r="AA84" i="13"/>
  <c r="S33" i="13"/>
  <c r="AA33" i="13"/>
  <c r="S80" i="13"/>
  <c r="AA80" i="13"/>
  <c r="S64" i="13"/>
  <c r="AA64" i="13"/>
  <c r="S60" i="13"/>
  <c r="AA60" i="13"/>
  <c r="S32" i="13"/>
  <c r="AA32" i="13"/>
  <c r="S20" i="13"/>
  <c r="AA20" i="13"/>
  <c r="N58" i="13"/>
  <c r="O58" i="13" s="1"/>
  <c r="W58" i="13" s="1"/>
  <c r="AA58" i="13"/>
  <c r="AA81" i="13"/>
  <c r="AA46" i="13"/>
  <c r="AA38" i="13"/>
  <c r="AA31" i="13"/>
  <c r="AA23" i="13"/>
  <c r="AA9" i="13"/>
  <c r="AA27" i="13"/>
  <c r="AA83" i="13"/>
  <c r="AA78" i="13"/>
  <c r="AA75" i="13"/>
  <c r="AA70" i="13"/>
  <c r="AA67" i="13"/>
  <c r="AA62" i="13"/>
  <c r="AA55" i="13"/>
  <c r="AA53" i="13"/>
  <c r="AA45" i="13"/>
  <c r="AA37" i="13"/>
  <c r="AA30" i="13"/>
  <c r="AA25" i="13"/>
  <c r="AA18" i="13"/>
  <c r="AA11" i="13"/>
  <c r="AA5" i="13"/>
  <c r="AA6" i="13"/>
  <c r="S51" i="13"/>
  <c r="N51" i="13"/>
  <c r="O51" i="13" s="1"/>
  <c r="W51" i="13" s="1"/>
  <c r="S10" i="13"/>
  <c r="N10" i="13"/>
  <c r="O10" i="13" s="1"/>
  <c r="W10" i="13" s="1"/>
  <c r="N80" i="13"/>
  <c r="O80" i="13" s="1"/>
  <c r="N78" i="13"/>
  <c r="O78" i="13" s="1"/>
  <c r="W78" i="13" s="1"/>
  <c r="N53" i="13"/>
  <c r="O53" i="13" s="1"/>
  <c r="U53" i="13" s="1"/>
  <c r="N18" i="13"/>
  <c r="O18" i="13" s="1"/>
  <c r="W18" i="13" s="1"/>
  <c r="S58" i="13"/>
  <c r="S43" i="13"/>
  <c r="N39" i="13"/>
  <c r="O39" i="13" s="1"/>
  <c r="U39" i="13" s="1"/>
  <c r="S65" i="13"/>
  <c r="N65" i="13"/>
  <c r="O65" i="13" s="1"/>
  <c r="N20" i="13"/>
  <c r="O20" i="13" s="1"/>
  <c r="N60" i="13"/>
  <c r="O60" i="13" s="1"/>
  <c r="W84" i="13"/>
  <c r="W71" i="13"/>
  <c r="N13" i="13"/>
  <c r="O13" i="13" s="1"/>
  <c r="S13" i="13"/>
  <c r="S16" i="13"/>
  <c r="N16" i="13"/>
  <c r="O16" i="13" s="1"/>
  <c r="R35" i="13"/>
  <c r="N23" i="13"/>
  <c r="O23" i="13" s="1"/>
  <c r="R72" i="13"/>
  <c r="N67" i="13"/>
  <c r="O67" i="13" s="1"/>
  <c r="N45" i="13"/>
  <c r="O45" i="13" s="1"/>
  <c r="N38" i="13"/>
  <c r="O38" i="13" s="1"/>
  <c r="N73" i="13"/>
  <c r="O73" i="13" s="1"/>
  <c r="S73" i="13"/>
  <c r="N5" i="13"/>
  <c r="O5" i="13" s="1"/>
  <c r="N30" i="13"/>
  <c r="O30" i="13" s="1"/>
  <c r="R15" i="13"/>
  <c r="N83" i="13"/>
  <c r="O83" i="13" s="1"/>
  <c r="N55" i="13"/>
  <c r="O55" i="13" s="1"/>
  <c r="N33" i="13"/>
  <c r="O33" i="13" s="1"/>
  <c r="N76" i="13"/>
  <c r="O76" i="13" s="1"/>
  <c r="S76" i="13"/>
  <c r="N63" i="13"/>
  <c r="O63" i="13" s="1"/>
  <c r="S63" i="13"/>
  <c r="N49" i="13"/>
  <c r="O49" i="13" s="1"/>
  <c r="S49" i="13"/>
  <c r="N41" i="13"/>
  <c r="O41" i="13" s="1"/>
  <c r="S41" i="13"/>
  <c r="N26" i="13"/>
  <c r="O26" i="13" s="1"/>
  <c r="S26" i="13"/>
  <c r="S48" i="13"/>
  <c r="N48" i="13"/>
  <c r="O48" i="13" s="1"/>
  <c r="N12" i="13"/>
  <c r="O12" i="13" s="1"/>
  <c r="S12" i="13"/>
  <c r="N75" i="13"/>
  <c r="O75" i="13" s="1"/>
  <c r="N50" i="13"/>
  <c r="O50" i="13" s="1"/>
  <c r="N42" i="13"/>
  <c r="O42" i="13" s="1"/>
  <c r="N37" i="13"/>
  <c r="O37" i="13" s="1"/>
  <c r="N8" i="13"/>
  <c r="O8" i="13" s="1"/>
  <c r="R22" i="13"/>
  <c r="N27" i="13"/>
  <c r="O27" i="13" s="1"/>
  <c r="N77" i="13"/>
  <c r="O77" i="13" s="1"/>
  <c r="N64" i="13"/>
  <c r="O64" i="13" s="1"/>
  <c r="N62" i="13"/>
  <c r="O62" i="13" s="1"/>
  <c r="N40" i="13"/>
  <c r="O40" i="13" s="1"/>
  <c r="N25" i="13"/>
  <c r="O25" i="13" s="1"/>
  <c r="N11" i="13"/>
  <c r="O11" i="13" s="1"/>
  <c r="S84" i="13"/>
  <c r="U84" i="13" s="1"/>
  <c r="S71" i="13"/>
  <c r="U71" i="13" s="1"/>
  <c r="S56" i="13"/>
  <c r="S34" i="13"/>
  <c r="U34" i="13" s="1"/>
  <c r="S19" i="13"/>
  <c r="U19" i="13" s="1"/>
  <c r="S66" i="13"/>
  <c r="N66" i="13"/>
  <c r="O66" i="13" s="1"/>
  <c r="S59" i="13"/>
  <c r="N59" i="13"/>
  <c r="O59" i="13" s="1"/>
  <c r="S52" i="13"/>
  <c r="N52" i="13"/>
  <c r="O52" i="13" s="1"/>
  <c r="S36" i="13"/>
  <c r="N36" i="13"/>
  <c r="O36" i="13" s="1"/>
  <c r="S14" i="13"/>
  <c r="N14" i="13"/>
  <c r="O14" i="13" s="1"/>
  <c r="S7" i="13"/>
  <c r="N7" i="13"/>
  <c r="O7" i="13" s="1"/>
  <c r="N82" i="13"/>
  <c r="O82" i="13" s="1"/>
  <c r="N54" i="13"/>
  <c r="O54" i="13" s="1"/>
  <c r="N85" i="13"/>
  <c r="O85" i="13" s="1"/>
  <c r="N81" i="13"/>
  <c r="O81" i="13" s="1"/>
  <c r="N57" i="13"/>
  <c r="O57" i="13" s="1"/>
  <c r="N47" i="13"/>
  <c r="O47" i="13" s="1"/>
  <c r="N31" i="13"/>
  <c r="O31" i="13" s="1"/>
  <c r="N24" i="13"/>
  <c r="O24" i="13" s="1"/>
  <c r="S79" i="13"/>
  <c r="N79" i="13"/>
  <c r="O79" i="13" s="1"/>
  <c r="S74" i="13"/>
  <c r="N74" i="13"/>
  <c r="O74" i="13" s="1"/>
  <c r="S44" i="13"/>
  <c r="N44" i="13"/>
  <c r="O44" i="13" s="1"/>
  <c r="S29" i="13"/>
  <c r="N29" i="13"/>
  <c r="O29" i="13" s="1"/>
  <c r="S21" i="13"/>
  <c r="N21" i="13"/>
  <c r="O21" i="13" s="1"/>
  <c r="N32" i="13"/>
  <c r="O32" i="13" s="1"/>
  <c r="N69" i="13"/>
  <c r="O69" i="13" s="1"/>
  <c r="N46" i="13"/>
  <c r="O46" i="13" s="1"/>
  <c r="N17" i="13"/>
  <c r="O17" i="13" s="1"/>
  <c r="AC71" i="13" l="1"/>
  <c r="AC9" i="13"/>
  <c r="AC84" i="13"/>
  <c r="AC19" i="13"/>
  <c r="AC53" i="13"/>
  <c r="AC34" i="13"/>
  <c r="AC39" i="13"/>
  <c r="AB34" i="13"/>
  <c r="U56" i="13"/>
  <c r="AC56" i="13" s="1"/>
  <c r="Z58" i="13"/>
  <c r="AB58" i="13" s="1"/>
  <c r="X58" i="13"/>
  <c r="Z43" i="13"/>
  <c r="AB43" i="13" s="1"/>
  <c r="X43" i="13"/>
  <c r="Z18" i="13"/>
  <c r="AB18" i="13" s="1"/>
  <c r="X18" i="13"/>
  <c r="Z51" i="13"/>
  <c r="AB51" i="13" s="1"/>
  <c r="X51" i="13"/>
  <c r="U6" i="13"/>
  <c r="Z61" i="13"/>
  <c r="AB61" i="13" s="1"/>
  <c r="X61" i="13"/>
  <c r="N91" i="13"/>
  <c r="Z78" i="13"/>
  <c r="AB78" i="13" s="1"/>
  <c r="X78" i="13"/>
  <c r="Z28" i="13"/>
  <c r="AB28" i="13" s="1"/>
  <c r="X28" i="13"/>
  <c r="Z70" i="13"/>
  <c r="AB70" i="13" s="1"/>
  <c r="X70" i="13"/>
  <c r="Z56" i="13"/>
  <c r="AB56" i="13" s="1"/>
  <c r="X56" i="13"/>
  <c r="Z71" i="13"/>
  <c r="AB71" i="13" s="1"/>
  <c r="X71" i="13"/>
  <c r="Z68" i="13"/>
  <c r="AB68" i="13" s="1"/>
  <c r="X68" i="13"/>
  <c r="Z84" i="13"/>
  <c r="AB84" i="13" s="1"/>
  <c r="X84" i="13"/>
  <c r="Z10" i="13"/>
  <c r="AB10" i="13" s="1"/>
  <c r="X10" i="13"/>
  <c r="AB19" i="13"/>
  <c r="Z6" i="13"/>
  <c r="AB6" i="13" s="1"/>
  <c r="X6" i="13"/>
  <c r="W9" i="13"/>
  <c r="T39" i="13"/>
  <c r="T71" i="13"/>
  <c r="T19" i="13"/>
  <c r="T84" i="13"/>
  <c r="T34" i="13"/>
  <c r="T53" i="13"/>
  <c r="T9" i="13"/>
  <c r="N90" i="13"/>
  <c r="U43" i="13"/>
  <c r="W39" i="13"/>
  <c r="U61" i="13"/>
  <c r="U58" i="13"/>
  <c r="U78" i="13"/>
  <c r="U80" i="13"/>
  <c r="W80" i="13"/>
  <c r="U68" i="13"/>
  <c r="U70" i="13"/>
  <c r="U28" i="13"/>
  <c r="AC28" i="13" s="1"/>
  <c r="S72" i="13"/>
  <c r="AA72" i="13"/>
  <c r="U51" i="13"/>
  <c r="S35" i="13"/>
  <c r="AA35" i="13"/>
  <c r="S22" i="13"/>
  <c r="AA22" i="13"/>
  <c r="S15" i="13"/>
  <c r="AA15" i="13"/>
  <c r="N35" i="13"/>
  <c r="O35" i="13" s="1"/>
  <c r="U10" i="13"/>
  <c r="W53" i="13"/>
  <c r="U18" i="13"/>
  <c r="N72" i="13"/>
  <c r="O72" i="13" s="1"/>
  <c r="W81" i="13"/>
  <c r="U81" i="13"/>
  <c r="U36" i="13"/>
  <c r="W36" i="13"/>
  <c r="U66" i="13"/>
  <c r="W66" i="13"/>
  <c r="U11" i="13"/>
  <c r="W11" i="13"/>
  <c r="W64" i="13"/>
  <c r="U64" i="13"/>
  <c r="W42" i="13"/>
  <c r="U42" i="13"/>
  <c r="U41" i="13"/>
  <c r="W41" i="13"/>
  <c r="W83" i="13"/>
  <c r="U83" i="13"/>
  <c r="W73" i="13"/>
  <c r="U73" i="13"/>
  <c r="W17" i="13"/>
  <c r="U17" i="13"/>
  <c r="U29" i="13"/>
  <c r="AC29" i="13" s="1"/>
  <c r="W29" i="13"/>
  <c r="W24" i="13"/>
  <c r="U24" i="13"/>
  <c r="W85" i="13"/>
  <c r="X85" i="13" s="1"/>
  <c r="U85" i="13"/>
  <c r="W77" i="13"/>
  <c r="U77" i="13"/>
  <c r="W50" i="13"/>
  <c r="U50" i="13"/>
  <c r="U67" i="13"/>
  <c r="W67" i="13"/>
  <c r="W65" i="13"/>
  <c r="U65" i="13"/>
  <c r="U14" i="13"/>
  <c r="W14" i="13"/>
  <c r="U40" i="13"/>
  <c r="W40" i="13"/>
  <c r="W27" i="13"/>
  <c r="U27" i="13"/>
  <c r="W75" i="13"/>
  <c r="U75" i="13"/>
  <c r="U26" i="13"/>
  <c r="W26" i="13"/>
  <c r="U33" i="13"/>
  <c r="W33" i="13"/>
  <c r="N15" i="13"/>
  <c r="O15" i="13" s="1"/>
  <c r="W46" i="13"/>
  <c r="U46" i="13"/>
  <c r="U21" i="13"/>
  <c r="W21" i="13"/>
  <c r="U44" i="13"/>
  <c r="W44" i="13"/>
  <c r="U79" i="13"/>
  <c r="W79" i="13"/>
  <c r="W47" i="13"/>
  <c r="U47" i="13"/>
  <c r="W82" i="13"/>
  <c r="U82" i="13"/>
  <c r="U62" i="13"/>
  <c r="W62" i="13"/>
  <c r="W37" i="13"/>
  <c r="U37" i="13"/>
  <c r="U49" i="13"/>
  <c r="W49" i="13"/>
  <c r="U76" i="13"/>
  <c r="W76" i="13"/>
  <c r="U55" i="13"/>
  <c r="W55" i="13"/>
  <c r="W5" i="13"/>
  <c r="X5" i="13" s="1"/>
  <c r="U5" i="13"/>
  <c r="AC5" i="13" s="1"/>
  <c r="W38" i="13"/>
  <c r="U38" i="13"/>
  <c r="W23" i="13"/>
  <c r="U23" i="13"/>
  <c r="W16" i="13"/>
  <c r="U16" i="13"/>
  <c r="AC16" i="13" s="1"/>
  <c r="W20" i="13"/>
  <c r="U20" i="13"/>
  <c r="AC20" i="13" s="1"/>
  <c r="W69" i="13"/>
  <c r="U69" i="13"/>
  <c r="U7" i="13"/>
  <c r="AC7" i="13" s="1"/>
  <c r="W7" i="13"/>
  <c r="U52" i="13"/>
  <c r="W52" i="13"/>
  <c r="U12" i="13"/>
  <c r="W12" i="13"/>
  <c r="U30" i="13"/>
  <c r="W30" i="13"/>
  <c r="U45" i="13"/>
  <c r="W45" i="13"/>
  <c r="U74" i="13"/>
  <c r="W74" i="13"/>
  <c r="W57" i="13"/>
  <c r="U57" i="13"/>
  <c r="U25" i="13"/>
  <c r="W25" i="13"/>
  <c r="W8" i="13"/>
  <c r="U8" i="13"/>
  <c r="U48" i="13"/>
  <c r="W48" i="13"/>
  <c r="U63" i="13"/>
  <c r="W63" i="13"/>
  <c r="W60" i="13"/>
  <c r="U60" i="13"/>
  <c r="W32" i="13"/>
  <c r="U32" i="13"/>
  <c r="W31" i="13"/>
  <c r="U31" i="13"/>
  <c r="W54" i="13"/>
  <c r="U54" i="13"/>
  <c r="AC54" i="13" s="1"/>
  <c r="U59" i="13"/>
  <c r="W59" i="13"/>
  <c r="W13" i="13"/>
  <c r="U13" i="13"/>
  <c r="N22" i="13"/>
  <c r="O22" i="13" s="1"/>
  <c r="AC60" i="13" l="1"/>
  <c r="AC8" i="13"/>
  <c r="AC69" i="13"/>
  <c r="AC23" i="13"/>
  <c r="AC37" i="13"/>
  <c r="AC47" i="13"/>
  <c r="AC33" i="13"/>
  <c r="AC36" i="13"/>
  <c r="AC10" i="13"/>
  <c r="AC70" i="13"/>
  <c r="AC61" i="13"/>
  <c r="AC74" i="13"/>
  <c r="AC12" i="13"/>
  <c r="AC55" i="13"/>
  <c r="AC21" i="13"/>
  <c r="AC85" i="13"/>
  <c r="AC17" i="13"/>
  <c r="AC81" i="13"/>
  <c r="AC68" i="13"/>
  <c r="AC13" i="13"/>
  <c r="AC31" i="13"/>
  <c r="AC38" i="13"/>
  <c r="AC46" i="13"/>
  <c r="AC26" i="13"/>
  <c r="AC41" i="13"/>
  <c r="AC51" i="13"/>
  <c r="AC45" i="13"/>
  <c r="AC62" i="13"/>
  <c r="AC50" i="13"/>
  <c r="AC73" i="13"/>
  <c r="AC42" i="13"/>
  <c r="AC80" i="13"/>
  <c r="AC32" i="13"/>
  <c r="AC57" i="13"/>
  <c r="AC82" i="13"/>
  <c r="AC14" i="13"/>
  <c r="AC66" i="13"/>
  <c r="AC18" i="13"/>
  <c r="AC78" i="13"/>
  <c r="AC40" i="13"/>
  <c r="AC67" i="13"/>
  <c r="AC11" i="13"/>
  <c r="AC43" i="13"/>
  <c r="AC63" i="13"/>
  <c r="AC25" i="13"/>
  <c r="AC52" i="13"/>
  <c r="AC76" i="13"/>
  <c r="AC79" i="13"/>
  <c r="AC75" i="13"/>
  <c r="AC59" i="13"/>
  <c r="AC48" i="13"/>
  <c r="AC30" i="13"/>
  <c r="AC49" i="13"/>
  <c r="AC44" i="13"/>
  <c r="AC27" i="13"/>
  <c r="AC65" i="13"/>
  <c r="AC77" i="13"/>
  <c r="AC83" i="13"/>
  <c r="AC64" i="13"/>
  <c r="AC58" i="13"/>
  <c r="T6" i="13"/>
  <c r="AC6" i="13"/>
  <c r="AC24" i="13"/>
  <c r="T56" i="13"/>
  <c r="Z63" i="13"/>
  <c r="AB63" i="13" s="1"/>
  <c r="X63" i="13"/>
  <c r="Z25" i="13"/>
  <c r="AB25" i="13" s="1"/>
  <c r="X25" i="13"/>
  <c r="Z45" i="13"/>
  <c r="AB45" i="13" s="1"/>
  <c r="X45" i="13"/>
  <c r="Z52" i="13"/>
  <c r="AB52" i="13" s="1"/>
  <c r="X52" i="13"/>
  <c r="Z76" i="13"/>
  <c r="AB76" i="13" s="1"/>
  <c r="X76" i="13"/>
  <c r="Z62" i="13"/>
  <c r="AB62" i="13" s="1"/>
  <c r="X62" i="13"/>
  <c r="Z79" i="13"/>
  <c r="AB79" i="13" s="1"/>
  <c r="X79" i="13"/>
  <c r="Z17" i="13"/>
  <c r="AB17" i="13" s="1"/>
  <c r="X17" i="13"/>
  <c r="Z81" i="13"/>
  <c r="AB81" i="13" s="1"/>
  <c r="X81" i="13"/>
  <c r="Z13" i="13"/>
  <c r="AB13" i="13" s="1"/>
  <c r="X13" i="13"/>
  <c r="Z31" i="13"/>
  <c r="AB31" i="13" s="1"/>
  <c r="X31" i="13"/>
  <c r="Z20" i="13"/>
  <c r="AB20" i="13" s="1"/>
  <c r="T93" i="13" s="1"/>
  <c r="X20" i="13"/>
  <c r="X93" i="13" s="1"/>
  <c r="K93" i="13"/>
  <c r="V93" i="13" s="1"/>
  <c r="Z38" i="13"/>
  <c r="AB38" i="13" s="1"/>
  <c r="X38" i="13"/>
  <c r="Z46" i="13"/>
  <c r="AB46" i="13" s="1"/>
  <c r="X46" i="13"/>
  <c r="Z14" i="13"/>
  <c r="AB14" i="13" s="1"/>
  <c r="X14" i="13"/>
  <c r="Z66" i="13"/>
  <c r="AB66" i="13" s="1"/>
  <c r="X66" i="13"/>
  <c r="Z59" i="13"/>
  <c r="AB59" i="13" s="1"/>
  <c r="X59" i="13"/>
  <c r="Z48" i="13"/>
  <c r="AB48" i="13" s="1"/>
  <c r="X48" i="13"/>
  <c r="Z30" i="13"/>
  <c r="AB30" i="13" s="1"/>
  <c r="X30" i="13"/>
  <c r="Z7" i="13"/>
  <c r="AB7" i="13" s="1"/>
  <c r="X7" i="13"/>
  <c r="Z49" i="13"/>
  <c r="AB49" i="13" s="1"/>
  <c r="X49" i="13"/>
  <c r="Z44" i="13"/>
  <c r="AB44" i="13" s="1"/>
  <c r="X44" i="13"/>
  <c r="Z75" i="13"/>
  <c r="AB75" i="13" s="1"/>
  <c r="X75" i="13"/>
  <c r="Z50" i="13"/>
  <c r="AB50" i="13" s="1"/>
  <c r="X50" i="13"/>
  <c r="Z24" i="13"/>
  <c r="AB24" i="13" s="1"/>
  <c r="X24" i="13"/>
  <c r="Z73" i="13"/>
  <c r="AB73" i="13" s="1"/>
  <c r="X73" i="13"/>
  <c r="Z42" i="13"/>
  <c r="AB42" i="13" s="1"/>
  <c r="X42" i="13"/>
  <c r="Z80" i="13"/>
  <c r="AB80" i="13" s="1"/>
  <c r="X80" i="13"/>
  <c r="Z9" i="13"/>
  <c r="AB9" i="13" s="1"/>
  <c r="X9" i="13"/>
  <c r="Z32" i="13"/>
  <c r="AB32" i="13" s="1"/>
  <c r="X32" i="13"/>
  <c r="Z57" i="13"/>
  <c r="AB57" i="13" s="1"/>
  <c r="T94" i="13" s="1"/>
  <c r="X57" i="13"/>
  <c r="X94" i="13" s="1"/>
  <c r="Z16" i="13"/>
  <c r="AB16" i="13" s="1"/>
  <c r="X16" i="13"/>
  <c r="Z82" i="13"/>
  <c r="AB82" i="13" s="1"/>
  <c r="X82" i="13"/>
  <c r="Z33" i="13"/>
  <c r="AB33" i="13" s="1"/>
  <c r="X33" i="13"/>
  <c r="Z29" i="13"/>
  <c r="AB29" i="13" s="1"/>
  <c r="X29" i="13"/>
  <c r="Z36" i="13"/>
  <c r="AB36" i="13" s="1"/>
  <c r="X36" i="13"/>
  <c r="Z53" i="13"/>
  <c r="AB53" i="13" s="1"/>
  <c r="X53" i="13"/>
  <c r="K94" i="13"/>
  <c r="V94" i="13" s="1"/>
  <c r="Z74" i="13"/>
  <c r="AB74" i="13" s="1"/>
  <c r="X74" i="13"/>
  <c r="Z12" i="13"/>
  <c r="AB12" i="13" s="1"/>
  <c r="X12" i="13"/>
  <c r="Z55" i="13"/>
  <c r="AB55" i="13" s="1"/>
  <c r="X55" i="13"/>
  <c r="Z21" i="13"/>
  <c r="AB21" i="13" s="1"/>
  <c r="X21" i="13"/>
  <c r="Z27" i="13"/>
  <c r="AB27" i="13" s="1"/>
  <c r="X27" i="13"/>
  <c r="Z65" i="13"/>
  <c r="AB65" i="13" s="1"/>
  <c r="X65" i="13"/>
  <c r="Z77" i="13"/>
  <c r="AB77" i="13" s="1"/>
  <c r="X77" i="13"/>
  <c r="Z83" i="13"/>
  <c r="AB83" i="13" s="1"/>
  <c r="X83" i="13"/>
  <c r="Z64" i="13"/>
  <c r="AB64" i="13" s="1"/>
  <c r="X64" i="13"/>
  <c r="U35" i="13"/>
  <c r="AC35" i="13" s="1"/>
  <c r="Z39" i="13"/>
  <c r="AB39" i="13" s="1"/>
  <c r="X39" i="13"/>
  <c r="Z54" i="13"/>
  <c r="AB54" i="13" s="1"/>
  <c r="X54" i="13"/>
  <c r="Z60" i="13"/>
  <c r="AB60" i="13" s="1"/>
  <c r="X60" i="13"/>
  <c r="Z8" i="13"/>
  <c r="AB8" i="13" s="1"/>
  <c r="X8" i="13"/>
  <c r="Z69" i="13"/>
  <c r="AB69" i="13" s="1"/>
  <c r="X69" i="13"/>
  <c r="Z23" i="13"/>
  <c r="AB23" i="13" s="1"/>
  <c r="X23" i="13"/>
  <c r="Z37" i="13"/>
  <c r="AB37" i="13" s="1"/>
  <c r="X37" i="13"/>
  <c r="Z47" i="13"/>
  <c r="AB47" i="13" s="1"/>
  <c r="X47" i="13"/>
  <c r="Z26" i="13"/>
  <c r="AB26" i="13" s="1"/>
  <c r="X26" i="13"/>
  <c r="Z40" i="13"/>
  <c r="AB40" i="13" s="1"/>
  <c r="X40" i="13"/>
  <c r="Z67" i="13"/>
  <c r="AB67" i="13" s="1"/>
  <c r="X67" i="13"/>
  <c r="Z41" i="13"/>
  <c r="AB41" i="13" s="1"/>
  <c r="X41" i="13"/>
  <c r="Z11" i="13"/>
  <c r="AB11" i="13" s="1"/>
  <c r="X11" i="13"/>
  <c r="K92" i="13"/>
  <c r="W35" i="13"/>
  <c r="T54" i="13"/>
  <c r="T8" i="13"/>
  <c r="T57" i="13"/>
  <c r="T20" i="13"/>
  <c r="T37" i="13"/>
  <c r="T82" i="13"/>
  <c r="T42" i="13"/>
  <c r="T68" i="13"/>
  <c r="T45" i="13"/>
  <c r="T7" i="13"/>
  <c r="T76" i="13"/>
  <c r="T79" i="13"/>
  <c r="T21" i="13"/>
  <c r="T50" i="13"/>
  <c r="T85" i="13"/>
  <c r="T31" i="13"/>
  <c r="T60" i="13"/>
  <c r="T69" i="13"/>
  <c r="T38" i="13"/>
  <c r="T46" i="13"/>
  <c r="T33" i="13"/>
  <c r="T40" i="13"/>
  <c r="T73" i="13"/>
  <c r="T59" i="13"/>
  <c r="T48" i="13"/>
  <c r="T25" i="13"/>
  <c r="T74" i="13"/>
  <c r="T30" i="13"/>
  <c r="T52" i="13"/>
  <c r="T55" i="13"/>
  <c r="T49" i="13"/>
  <c r="T62" i="13"/>
  <c r="T44" i="13"/>
  <c r="T27" i="13"/>
  <c r="T77" i="13"/>
  <c r="T24" i="13"/>
  <c r="T17" i="13"/>
  <c r="T41" i="13"/>
  <c r="T66" i="13"/>
  <c r="T10" i="13"/>
  <c r="T78" i="13"/>
  <c r="T13" i="13"/>
  <c r="T32" i="13"/>
  <c r="T23" i="13"/>
  <c r="T5" i="13"/>
  <c r="T26" i="13"/>
  <c r="T14" i="13"/>
  <c r="T67" i="13"/>
  <c r="T83" i="13"/>
  <c r="T58" i="13"/>
  <c r="T63" i="13"/>
  <c r="T12" i="13"/>
  <c r="T75" i="13"/>
  <c r="T65" i="13"/>
  <c r="T11" i="13"/>
  <c r="T36" i="13"/>
  <c r="T18" i="13"/>
  <c r="T28" i="13"/>
  <c r="T61" i="13"/>
  <c r="T16" i="13"/>
  <c r="T47" i="13"/>
  <c r="T29" i="13"/>
  <c r="T64" i="13"/>
  <c r="T81" i="13"/>
  <c r="T51" i="13"/>
  <c r="T70" i="13"/>
  <c r="T80" i="13"/>
  <c r="T43" i="13"/>
  <c r="Z5" i="13"/>
  <c r="AB5" i="13" s="1"/>
  <c r="Z85" i="13"/>
  <c r="AB85" i="13" s="1"/>
  <c r="U72" i="13"/>
  <c r="W72" i="13"/>
  <c r="U22" i="13"/>
  <c r="W22" i="13"/>
  <c r="U15" i="13"/>
  <c r="W15" i="13"/>
  <c r="K91" i="13" s="1"/>
  <c r="V91" i="13" s="1"/>
  <c r="AC72" i="13" l="1"/>
  <c r="AC15" i="13"/>
  <c r="AC22" i="13"/>
  <c r="V92" i="13"/>
  <c r="V95" i="13" s="1"/>
  <c r="T35" i="13"/>
  <c r="T92" i="13"/>
  <c r="P94" i="13"/>
  <c r="S94" i="13" s="1"/>
  <c r="L94" i="13"/>
  <c r="P91" i="13"/>
  <c r="P92" i="13"/>
  <c r="P93" i="13"/>
  <c r="S93" i="13" s="1"/>
  <c r="L93" i="13"/>
  <c r="X92" i="13"/>
  <c r="L92" i="13" s="1"/>
  <c r="Z72" i="13"/>
  <c r="AB72" i="13" s="1"/>
  <c r="X72" i="13"/>
  <c r="Z22" i="13"/>
  <c r="AB22" i="13" s="1"/>
  <c r="X22" i="13"/>
  <c r="Z15" i="13"/>
  <c r="AB15" i="13" s="1"/>
  <c r="T91" i="13" s="1"/>
  <c r="X15" i="13"/>
  <c r="X91" i="13" s="1"/>
  <c r="Z35" i="13"/>
  <c r="AB35" i="13" s="1"/>
  <c r="X35" i="13"/>
  <c r="T15" i="13"/>
  <c r="T22" i="13"/>
  <c r="T72" i="13"/>
  <c r="K90" i="13"/>
  <c r="Q93" i="13" l="1"/>
  <c r="S92" i="13"/>
  <c r="Q92" i="13"/>
  <c r="S91" i="13"/>
  <c r="Q91" i="13"/>
  <c r="Q94" i="13"/>
  <c r="X90" i="13"/>
  <c r="L90" i="13" s="1"/>
  <c r="L91" i="13"/>
  <c r="P90" i="13"/>
  <c r="T90" i="13"/>
  <c r="T95" i="13" l="1"/>
  <c r="S90" i="13"/>
  <c r="S95" i="13" s="1"/>
  <c r="Q90" i="13"/>
  <c r="T86" i="13" l="1"/>
</calcChain>
</file>

<file path=xl/sharedStrings.xml><?xml version="1.0" encoding="utf-8"?>
<sst xmlns="http://schemas.openxmlformats.org/spreadsheetml/2006/main" count="443" uniqueCount="151">
  <si>
    <t>h</t>
  </si>
  <si>
    <t>S</t>
  </si>
  <si>
    <t>hh</t>
  </si>
  <si>
    <t>w</t>
  </si>
  <si>
    <t>R</t>
  </si>
  <si>
    <t>м</t>
  </si>
  <si>
    <t>кг/м</t>
  </si>
  <si>
    <t>шт.</t>
  </si>
  <si>
    <t>кг</t>
  </si>
  <si>
    <t>A</t>
  </si>
  <si>
    <t>Итого:</t>
  </si>
  <si>
    <t>Insgesamt:</t>
  </si>
  <si>
    <t>min</t>
  </si>
  <si>
    <t>Б. связок</t>
  </si>
  <si>
    <t>Палет</t>
  </si>
  <si>
    <t xml:space="preserve">TECTUBE cips         6,0X1,0  35,0M  </t>
  </si>
  <si>
    <t xml:space="preserve">TECTUBE cips         8,0X1,0  35,0M  </t>
  </si>
  <si>
    <t xml:space="preserve">TECTUBE cips        10,0X1,0  35,0M  </t>
  </si>
  <si>
    <t xml:space="preserve">TECTUBE cips        12,0X1,0  35,0M  </t>
  </si>
  <si>
    <t xml:space="preserve">TECTUBE cips        15,0X1,0  25,0M  </t>
  </si>
  <si>
    <t xml:space="preserve">TECTUBE cips        16,0X1,0  25,0M  </t>
  </si>
  <si>
    <t xml:space="preserve">TECTUBE cips        18,0X1,0  25,0M  </t>
  </si>
  <si>
    <t xml:space="preserve">TECTUBE cips        22,0X1,00  25,0M   </t>
  </si>
  <si>
    <t xml:space="preserve">TECTUBE cips         6,0X1,0  25,0M  </t>
  </si>
  <si>
    <t xml:space="preserve">TECTUBE cips         8,0X1,0  25,0M  </t>
  </si>
  <si>
    <t xml:space="preserve">TECTUBE cips        10,0X1,0  25,0M  </t>
  </si>
  <si>
    <t xml:space="preserve">TECTUBE cips        12,0X1,0  25,0M  </t>
  </si>
  <si>
    <t xml:space="preserve">TECTUBE med       6,0X1,00  5,0M  </t>
  </si>
  <si>
    <t xml:space="preserve">TECTUBE med       8,0X1,00  5,0M  </t>
  </si>
  <si>
    <t xml:space="preserve">TECTUBE med        10,0X1,00  5,0M  </t>
  </si>
  <si>
    <t xml:space="preserve">TECTUBE med        12,0X1,00  5,0M  </t>
  </si>
  <si>
    <t xml:space="preserve">TECTUBE med        15,0X1,00  5,0M  </t>
  </si>
  <si>
    <t xml:space="preserve">TECTUBE med        16,0X1,00  5,0M  </t>
  </si>
  <si>
    <t xml:space="preserve">TECTUBE med        18,0X1,00  5,0M  </t>
  </si>
  <si>
    <t xml:space="preserve">TECTUBE med        22,0X1,00  5,0M  </t>
  </si>
  <si>
    <t xml:space="preserve">TECTUBE med        22,0X1,50  5,0M  </t>
  </si>
  <si>
    <t xml:space="preserve">TECTUBE med        28,0X1,00  5,0M  </t>
  </si>
  <si>
    <t xml:space="preserve">TECTUBE med        28,0X1,50  5,0M  </t>
  </si>
  <si>
    <t>TECTUBE med        35,0X1,50  5,0M</t>
  </si>
  <si>
    <t>TECTUBE med        35,0X1,00  5,0M</t>
  </si>
  <si>
    <t>TECTUBE med        42,0X1,50  5,0M</t>
  </si>
  <si>
    <t>TECTUBE med        42,0X1,00  5,0M</t>
  </si>
  <si>
    <t>TECTUBE med        54,0X1,50  5,0M</t>
  </si>
  <si>
    <t>TECTUBE med        54,0X2,00  5,0M</t>
  </si>
  <si>
    <t>TECTUBE med        64,0X2,00  5,0M</t>
  </si>
  <si>
    <t>TECTUBE med        76,1X2,00  5,0M</t>
  </si>
  <si>
    <t>TECTUBE med        88,9X2,00  5,0M</t>
  </si>
  <si>
    <t>TECTUBE med        108,0X2,50  5,0M</t>
  </si>
  <si>
    <t>TECTUBE cips hp130       3/8"   5,0 M</t>
  </si>
  <si>
    <t>TECTUBE cips hp130       1/2"   5,0 M</t>
  </si>
  <si>
    <t>TECTUBE cips hp130       5/8"   5,0 M</t>
  </si>
  <si>
    <t>TECTUBE cips hp130       3/4"   5,0 M</t>
  </si>
  <si>
    <t>TECTUBE cips hp130       7/8"   5,0 M</t>
  </si>
  <si>
    <t>TECTUBE cips hp130       1 1/8"   5,0 M</t>
  </si>
  <si>
    <t>TECTUBE cips hp130       1 3/8"   5,0 M</t>
  </si>
  <si>
    <t>TECTUBE cips hp130       1 5/8"   5,0 M</t>
  </si>
  <si>
    <t>TECTUBE cips hp130       2 1/8"   5,0 M</t>
  </si>
  <si>
    <t>TECTUBE cips hp130       2 5/8"   3,0 M</t>
  </si>
  <si>
    <t>TECTUBE cips       34,92x1,25x5,00 M</t>
  </si>
  <si>
    <t>TECTUBE cips       34,92x1,00x5,00 M</t>
  </si>
  <si>
    <t>TECTUBE cips       41,27x1,25x5,00 M</t>
  </si>
  <si>
    <t>TECTUBE cips       41,27x1,00x5,00 M</t>
  </si>
  <si>
    <t>TECTUBE cips       53,97x1,20x5,00 M</t>
  </si>
  <si>
    <t>TECTUBE cips       66,68x1,63x5,00 M</t>
  </si>
  <si>
    <t>TECTUBE cips       79,38x1,63x5,00 M</t>
  </si>
  <si>
    <t>TECTUBE cips       92,08x2,03x5,00 M</t>
  </si>
  <si>
    <t>Sn</t>
  </si>
  <si>
    <t>K</t>
  </si>
  <si>
    <t>PE</t>
  </si>
  <si>
    <t>x</t>
  </si>
  <si>
    <t>0,90 x 0,90</t>
  </si>
  <si>
    <t>1,16 x 1,16</t>
  </si>
  <si>
    <t>h - твердая/hart, hh - полутвердая/halbhart, w - мягкая/weich,</t>
  </si>
  <si>
    <t xml:space="preserve"> S - штанга/Stange, R - бухта/Ring, Sn - улитка/Schnecke</t>
  </si>
  <si>
    <t>HME Copper Germany GmbH</t>
  </si>
  <si>
    <t>gesamte</t>
  </si>
  <si>
    <t>целых/</t>
  </si>
  <si>
    <t>L, m</t>
  </si>
  <si>
    <t>V≈ m3</t>
  </si>
  <si>
    <t>max</t>
  </si>
  <si>
    <t>0,78 x 0,68</t>
  </si>
  <si>
    <t>0,78 x 0,78</t>
  </si>
  <si>
    <t>сборных/</t>
  </si>
  <si>
    <t>gesammelte</t>
  </si>
  <si>
    <t>Reihe</t>
  </si>
  <si>
    <t>рядов/</t>
  </si>
  <si>
    <t>Расчет нагрузки на оси</t>
  </si>
  <si>
    <t>Вес тягача, вкл. топливо, кг</t>
  </si>
  <si>
    <t>Распределение на оси</t>
  </si>
  <si>
    <t>Рулевая ось, кг</t>
  </si>
  <si>
    <t>Ведущая ось, кг</t>
  </si>
  <si>
    <t>Расстояние от седла до ведущей оси, мм</t>
  </si>
  <si>
    <t>Расстояние между осями, мм</t>
  </si>
  <si>
    <t>Вес полуприцепа, мм</t>
  </si>
  <si>
    <t>Расстояние от шкворня до оси 2, мм</t>
  </si>
  <si>
    <t>Расстояние между осями 1 и 2, 2 и 3, мм</t>
  </si>
  <si>
    <t>Нагрузка на рулевую ось</t>
  </si>
  <si>
    <t>на седло</t>
  </si>
  <si>
    <t>на ведущую ось</t>
  </si>
  <si>
    <t>Без п/п</t>
  </si>
  <si>
    <t>Рассояние от шкворня до заднего торца, мм</t>
  </si>
  <si>
    <t>Порожний</t>
  </si>
  <si>
    <t xml:space="preserve">Длина полуприцепа, мм </t>
  </si>
  <si>
    <t>Нагрузка на оси</t>
  </si>
  <si>
    <t>l, м</t>
  </si>
  <si>
    <t>Вес, кг</t>
  </si>
  <si>
    <t>груз 1</t>
  </si>
  <si>
    <t>С грузом</t>
  </si>
  <si>
    <t>груз 2</t>
  </si>
  <si>
    <t>груз 3</t>
  </si>
  <si>
    <t>груз 4</t>
  </si>
  <si>
    <t>груз 5</t>
  </si>
  <si>
    <t>груз 6</t>
  </si>
  <si>
    <t>груз 7</t>
  </si>
  <si>
    <t>груз 8</t>
  </si>
  <si>
    <t>груз 9</t>
  </si>
  <si>
    <t>Примечание. Для данного расчета взяты усредненные данные по тягачу и прицепу. Более точный расчет можно получить, взяв данные (масса, размеры) из Интернета на конкретные марки и модели. По каждому виду груза необходимо внести вес и длину, занимаемую в фуре, по порядку.На практике нагрузки на оси могут оличаться от расчётных.</t>
  </si>
  <si>
    <t>груз 10</t>
  </si>
  <si>
    <t>©Andrey Vinogradov</t>
  </si>
  <si>
    <t>Артикул</t>
  </si>
  <si>
    <t>Позиции</t>
  </si>
  <si>
    <t>Состояние</t>
  </si>
  <si>
    <t>Картон / ПЭ</t>
  </si>
  <si>
    <r>
      <t xml:space="preserve">ВВОД </t>
    </r>
    <r>
      <rPr>
        <b/>
        <sz val="8"/>
        <rFont val="Arial Cyr"/>
        <charset val="204"/>
      </rPr>
      <t>запрашиваемого количества</t>
    </r>
  </si>
  <si>
    <t>Удельный вес</t>
  </si>
  <si>
    <t>Единица упаковки</t>
  </si>
  <si>
    <t>Кол-во</t>
  </si>
  <si>
    <t>Итого</t>
  </si>
  <si>
    <t>Малая связка/ бухта</t>
  </si>
  <si>
    <t>Большая связка / палета</t>
  </si>
  <si>
    <t>Теоретический вес</t>
  </si>
  <si>
    <t>Общее количество</t>
  </si>
  <si>
    <t>Палета</t>
  </si>
  <si>
    <t>Отрезки/бухты/ улитки</t>
  </si>
  <si>
    <r>
      <t xml:space="preserve">TECTUBE cips       1/2" </t>
    </r>
    <r>
      <rPr>
        <sz val="8"/>
        <rFont val="Arial Cyr"/>
        <charset val="204"/>
      </rPr>
      <t>(12,70x0,80)</t>
    </r>
    <r>
      <rPr>
        <sz val="9"/>
        <rFont val="Arial Cyr"/>
        <family val="2"/>
        <charset val="204"/>
      </rPr>
      <t xml:space="preserve">   15,0 M</t>
    </r>
  </si>
  <si>
    <r>
      <t xml:space="preserve">TECTUBE cips       3/8" </t>
    </r>
    <r>
      <rPr>
        <sz val="8"/>
        <rFont val="Arial Cyr"/>
        <charset val="204"/>
      </rPr>
      <t xml:space="preserve">(9,52x0,80)      </t>
    </r>
    <r>
      <rPr>
        <sz val="9"/>
        <rFont val="Arial Cyr"/>
        <family val="2"/>
        <charset val="204"/>
      </rPr>
      <t>15,0 M</t>
    </r>
  </si>
  <si>
    <r>
      <t xml:space="preserve">TECTUBE cips       5/8" </t>
    </r>
    <r>
      <rPr>
        <sz val="8"/>
        <rFont val="Arial Cyr"/>
        <charset val="204"/>
      </rPr>
      <t>(15,87x0,80)</t>
    </r>
    <r>
      <rPr>
        <sz val="9"/>
        <rFont val="Arial Cyr"/>
        <family val="2"/>
        <charset val="204"/>
      </rPr>
      <t xml:space="preserve">   15,0 M</t>
    </r>
  </si>
  <si>
    <r>
      <t xml:space="preserve">TECTUBE cips       1/4" </t>
    </r>
    <r>
      <rPr>
        <sz val="8"/>
        <rFont val="Arial Cyr"/>
        <charset val="204"/>
      </rPr>
      <t xml:space="preserve">(6,35x0,80)      </t>
    </r>
    <r>
      <rPr>
        <sz val="9"/>
        <rFont val="Arial Cyr"/>
        <family val="2"/>
        <charset val="204"/>
      </rPr>
      <t>15,0 M</t>
    </r>
  </si>
  <si>
    <r>
      <t xml:space="preserve">TECTUBE cips       3/4" </t>
    </r>
    <r>
      <rPr>
        <sz val="8"/>
        <rFont val="Arial Cyr"/>
        <charset val="204"/>
      </rPr>
      <t>(19,05x0,80)</t>
    </r>
    <r>
      <rPr>
        <sz val="9"/>
        <rFont val="Arial Cyr"/>
        <family val="2"/>
        <charset val="204"/>
      </rPr>
      <t xml:space="preserve">   15,0 M</t>
    </r>
  </si>
  <si>
    <r>
      <t xml:space="preserve">TECTUBE cips       7/8" </t>
    </r>
    <r>
      <rPr>
        <sz val="8"/>
        <rFont val="Arial Cyr"/>
        <charset val="204"/>
      </rPr>
      <t>(22,22x1,00)</t>
    </r>
    <r>
      <rPr>
        <sz val="9"/>
        <rFont val="Arial Cyr"/>
        <family val="2"/>
        <charset val="204"/>
      </rPr>
      <t xml:space="preserve">   15,0 M</t>
    </r>
  </si>
  <si>
    <r>
      <t xml:space="preserve">TECTUBE cips       1/2" </t>
    </r>
    <r>
      <rPr>
        <sz val="8"/>
        <rFont val="Arial Cyr"/>
        <charset val="204"/>
      </rPr>
      <t>(12,70x0,80)</t>
    </r>
    <r>
      <rPr>
        <sz val="9"/>
        <rFont val="Arial Cyr"/>
        <family val="2"/>
        <charset val="204"/>
      </rPr>
      <t xml:space="preserve">   5,0 M</t>
    </r>
  </si>
  <si>
    <r>
      <t xml:space="preserve">TECTUBE cips       3/8" </t>
    </r>
    <r>
      <rPr>
        <sz val="8"/>
        <rFont val="Arial Cyr"/>
        <charset val="204"/>
      </rPr>
      <t>(9,52x0,80)</t>
    </r>
    <r>
      <rPr>
        <sz val="9"/>
        <rFont val="Arial Cyr"/>
        <family val="2"/>
        <charset val="204"/>
      </rPr>
      <t xml:space="preserve">     5,0 M</t>
    </r>
  </si>
  <si>
    <r>
      <t xml:space="preserve">TECTUBE cips       5/8" </t>
    </r>
    <r>
      <rPr>
        <sz val="8"/>
        <rFont val="Arial Cyr"/>
        <charset val="204"/>
      </rPr>
      <t>(15,87x0,80)</t>
    </r>
    <r>
      <rPr>
        <sz val="9"/>
        <rFont val="Arial Cyr"/>
        <family val="2"/>
        <charset val="204"/>
      </rPr>
      <t xml:space="preserve">   5,0 M</t>
    </r>
  </si>
  <si>
    <r>
      <t xml:space="preserve">TECTUBE cips       3/4" </t>
    </r>
    <r>
      <rPr>
        <sz val="8"/>
        <rFont val="Arial Cyr"/>
        <charset val="204"/>
      </rPr>
      <t>(19,05x0,80)</t>
    </r>
    <r>
      <rPr>
        <sz val="9"/>
        <rFont val="Arial Cyr"/>
        <family val="2"/>
        <charset val="204"/>
      </rPr>
      <t xml:space="preserve">   5,0 M</t>
    </r>
  </si>
  <si>
    <r>
      <t xml:space="preserve">TECTUBE cips       7/8" </t>
    </r>
    <r>
      <rPr>
        <sz val="8"/>
        <rFont val="Arial Cyr"/>
        <charset val="204"/>
      </rPr>
      <t>(22,22x1,00)</t>
    </r>
    <r>
      <rPr>
        <sz val="9"/>
        <rFont val="Arial Cyr"/>
        <family val="2"/>
        <charset val="204"/>
      </rPr>
      <t xml:space="preserve">   5,0 M</t>
    </r>
  </si>
  <si>
    <r>
      <t xml:space="preserve">TECTUBE cips       1"    </t>
    </r>
    <r>
      <rPr>
        <sz val="8"/>
        <rFont val="Arial Cyr"/>
        <charset val="204"/>
      </rPr>
      <t>(25,40x1,00)</t>
    </r>
    <r>
      <rPr>
        <sz val="9"/>
        <rFont val="Arial Cyr"/>
        <family val="2"/>
        <charset val="204"/>
      </rPr>
      <t xml:space="preserve">   5,0 M</t>
    </r>
  </si>
  <si>
    <r>
      <t>TECTUBE cips       1 1/8"</t>
    </r>
    <r>
      <rPr>
        <sz val="8"/>
        <rFont val="Arial Cyr"/>
        <charset val="204"/>
      </rPr>
      <t>(28,57x0,89)</t>
    </r>
    <r>
      <rPr>
        <sz val="9"/>
        <rFont val="Arial Cyr"/>
        <family val="2"/>
        <charset val="204"/>
      </rPr>
      <t xml:space="preserve"> 5,0 M</t>
    </r>
  </si>
  <si>
    <r>
      <t>TECTUBE cips       1 1/8"</t>
    </r>
    <r>
      <rPr>
        <sz val="8"/>
        <rFont val="Arial Cyr"/>
        <charset val="204"/>
      </rPr>
      <t>(28,57x1,25)</t>
    </r>
    <r>
      <rPr>
        <sz val="9"/>
        <rFont val="Arial Cyr"/>
        <family val="2"/>
        <charset val="204"/>
      </rPr>
      <t xml:space="preserve"> 5,0 M</t>
    </r>
  </si>
  <si>
    <t>Расчет производится пропорционально малым и большим модулям упаковки.</t>
  </si>
  <si>
    <t>Программа поставок индустриальных труб НМЕ 2020</t>
  </si>
  <si>
    <t>Форма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</si>
</sst>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6" formatCode="0.0"/>
    <numFmt numFmtId="167" formatCode="dd/mm/yy;@"/>
  </numFmts>
  <fonts count="37" x14ac:knownFonts="1"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Cyr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2"/>
      <name val="Arial Cyr"/>
      <family val="2"/>
      <charset val="204"/>
    </font>
    <font>
      <sz val="10"/>
      <color indexed="12"/>
      <name val="Arial Cyr"/>
      <charset val="204"/>
    </font>
    <font>
      <b/>
      <sz val="11"/>
      <name val="Arial Cyr"/>
      <family val="2"/>
      <charset val="204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9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sz val="21"/>
      <color rgb="FF333333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8"/>
      <name val="Arial Cyr"/>
      <charset val="204"/>
    </font>
    <font>
      <sz val="7"/>
      <color indexed="8"/>
      <name val="Arial"/>
      <family val="2"/>
    </font>
    <font>
      <sz val="9"/>
      <name val="Arial"/>
      <family val="2"/>
      <charset val="204"/>
    </font>
    <font>
      <sz val="9"/>
      <color rgb="FF0000FF"/>
      <name val="Arial"/>
      <family val="2"/>
      <charset val="204"/>
    </font>
    <font>
      <sz val="9"/>
      <color rgb="FF0000FF"/>
      <name val="Arial Cyr"/>
      <charset val="204"/>
    </font>
    <font>
      <sz val="9"/>
      <color rgb="FF0000FF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0066FF"/>
      <name val="Arial"/>
      <family val="2"/>
      <charset val="204"/>
    </font>
    <font>
      <i/>
      <sz val="9"/>
      <color theme="1"/>
      <name val="Calibri"/>
      <family val="2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1" fillId="0" borderId="0"/>
    <xf numFmtId="0" fontId="16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2" xfId="0" applyFont="1" applyFill="1" applyBorder="1" applyProtection="1">
      <protection hidden="1"/>
    </xf>
    <xf numFmtId="0" fontId="13" fillId="0" borderId="5" xfId="0" applyFont="1" applyFill="1" applyBorder="1" applyProtection="1">
      <protection hidden="1"/>
    </xf>
    <xf numFmtId="1" fontId="11" fillId="0" borderId="5" xfId="0" applyNumberFormat="1" applyFont="1" applyBorder="1" applyAlignment="1" applyProtection="1">
      <alignment horizontal="right"/>
      <protection hidden="1"/>
    </xf>
    <xf numFmtId="1" fontId="8" fillId="0" borderId="13" xfId="0" applyNumberFormat="1" applyFont="1" applyBorder="1" applyAlignment="1" applyProtection="1">
      <alignment horizontal="right"/>
      <protection hidden="1"/>
    </xf>
    <xf numFmtId="0" fontId="14" fillId="0" borderId="5" xfId="0" applyFont="1" applyFill="1" applyBorder="1" applyProtection="1">
      <protection hidden="1"/>
    </xf>
    <xf numFmtId="1" fontId="11" fillId="0" borderId="5" xfId="0" applyNumberFormat="1" applyFont="1" applyFill="1" applyBorder="1" applyAlignment="1" applyProtection="1">
      <alignment horizontal="right"/>
      <protection hidden="1"/>
    </xf>
    <xf numFmtId="0" fontId="13" fillId="0" borderId="14" xfId="0" applyFont="1" applyFill="1" applyBorder="1" applyProtection="1">
      <protection hidden="1"/>
    </xf>
    <xf numFmtId="0" fontId="13" fillId="0" borderId="1" xfId="0" applyFont="1" applyFill="1" applyBorder="1" applyProtection="1">
      <protection hidden="1"/>
    </xf>
    <xf numFmtId="1" fontId="11" fillId="0" borderId="1" xfId="0" applyNumberFormat="1" applyFont="1" applyBorder="1" applyAlignment="1" applyProtection="1">
      <alignment horizontal="right"/>
      <protection hidden="1"/>
    </xf>
    <xf numFmtId="1" fontId="8" fillId="0" borderId="15" xfId="0" applyNumberFormat="1" applyFont="1" applyBorder="1" applyAlignment="1" applyProtection="1">
      <alignment horizontal="right"/>
      <protection hidden="1"/>
    </xf>
    <xf numFmtId="0" fontId="14" fillId="0" borderId="1" xfId="0" applyFont="1" applyFill="1" applyBorder="1" applyProtection="1">
      <protection hidden="1"/>
    </xf>
    <xf numFmtId="1" fontId="11" fillId="0" borderId="1" xfId="0" applyNumberFormat="1" applyFont="1" applyFill="1" applyBorder="1" applyAlignment="1" applyProtection="1">
      <alignment horizontal="right"/>
      <protection hidden="1"/>
    </xf>
    <xf numFmtId="1" fontId="11" fillId="0" borderId="10" xfId="0" applyNumberFormat="1" applyFont="1" applyBorder="1" applyAlignment="1" applyProtection="1">
      <alignment horizontal="right"/>
      <protection hidden="1"/>
    </xf>
    <xf numFmtId="1" fontId="8" fillId="0" borderId="18" xfId="0" applyNumberFormat="1" applyFont="1" applyBorder="1" applyAlignment="1" applyProtection="1">
      <alignment horizontal="right"/>
      <protection hidden="1"/>
    </xf>
    <xf numFmtId="0" fontId="14" fillId="0" borderId="10" xfId="0" applyFont="1" applyFill="1" applyBorder="1" applyProtection="1">
      <protection hidden="1"/>
    </xf>
    <xf numFmtId="1" fontId="11" fillId="0" borderId="10" xfId="0" applyNumberFormat="1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Protection="1">
      <protection hidden="1"/>
    </xf>
    <xf numFmtId="0" fontId="13" fillId="0" borderId="17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166" fontId="15" fillId="0" borderId="0" xfId="0" applyNumberFormat="1" applyFont="1" applyBorder="1"/>
    <xf numFmtId="1" fontId="3" fillId="0" borderId="0" xfId="0" applyNumberFormat="1" applyFont="1" applyBorder="1"/>
    <xf numFmtId="2" fontId="9" fillId="0" borderId="0" xfId="0" applyNumberFormat="1" applyFont="1" applyBorder="1"/>
    <xf numFmtId="164" fontId="5" fillId="0" borderId="20" xfId="0" applyNumberFormat="1" applyFont="1" applyFill="1" applyBorder="1" applyProtection="1">
      <protection hidden="1"/>
    </xf>
    <xf numFmtId="164" fontId="5" fillId="0" borderId="21" xfId="0" applyNumberFormat="1" applyFont="1" applyFill="1" applyBorder="1" applyProtection="1">
      <protection hidden="1"/>
    </xf>
    <xf numFmtId="164" fontId="5" fillId="0" borderId="19" xfId="0" applyNumberFormat="1" applyFont="1" applyFill="1" applyBorder="1" applyProtection="1">
      <protection hidden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166" fontId="5" fillId="2" borderId="1" xfId="0" applyNumberFormat="1" applyFont="1" applyFill="1" applyBorder="1"/>
    <xf numFmtId="0" fontId="6" fillId="0" borderId="0" xfId="0" applyFont="1"/>
    <xf numFmtId="0" fontId="17" fillId="0" borderId="0" xfId="0" applyFont="1"/>
    <xf numFmtId="166" fontId="5" fillId="2" borderId="5" xfId="0" applyNumberFormat="1" applyFont="1" applyFill="1" applyBorder="1"/>
    <xf numFmtId="0" fontId="5" fillId="0" borderId="5" xfId="0" applyFont="1" applyBorder="1"/>
    <xf numFmtId="166" fontId="5" fillId="2" borderId="10" xfId="0" applyNumberFormat="1" applyFont="1" applyFill="1" applyBorder="1"/>
    <xf numFmtId="0" fontId="5" fillId="0" borderId="10" xfId="0" applyFont="1" applyBorder="1"/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23" xfId="0" applyBorder="1"/>
    <xf numFmtId="0" fontId="19" fillId="0" borderId="14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9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0" borderId="15" xfId="0" applyFont="1" applyBorder="1"/>
    <xf numFmtId="0" fontId="0" fillId="0" borderId="17" xfId="0" applyBorder="1"/>
    <xf numFmtId="0" fontId="19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20" fillId="0" borderId="1" xfId="0" applyFont="1" applyBorder="1"/>
    <xf numFmtId="0" fontId="21" fillId="0" borderId="1" xfId="0" applyFont="1" applyBorder="1"/>
    <xf numFmtId="0" fontId="0" fillId="0" borderId="5" xfId="0" applyBorder="1"/>
    <xf numFmtId="0" fontId="0" fillId="0" borderId="10" xfId="0" applyBorder="1"/>
    <xf numFmtId="0" fontId="5" fillId="0" borderId="6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textRotation="90" wrapText="1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166" fontId="8" fillId="0" borderId="6" xfId="0" applyNumberFormat="1" applyFont="1" applyBorder="1" applyAlignment="1" applyProtection="1">
      <alignment horizontal="right"/>
      <protection hidden="1"/>
    </xf>
    <xf numFmtId="166" fontId="8" fillId="0" borderId="8" xfId="0" applyNumberFormat="1" applyFont="1" applyBorder="1" applyAlignment="1" applyProtection="1">
      <alignment horizontal="right"/>
      <protection hidden="1"/>
    </xf>
    <xf numFmtId="0" fontId="18" fillId="0" borderId="2" xfId="0" applyFont="1" applyFill="1" applyBorder="1" applyProtection="1">
      <protection hidden="1"/>
    </xf>
    <xf numFmtId="0" fontId="18" fillId="0" borderId="16" xfId="0" applyFont="1" applyFill="1" applyBorder="1" applyProtection="1">
      <protection hidden="1"/>
    </xf>
    <xf numFmtId="0" fontId="19" fillId="0" borderId="5" xfId="0" applyFont="1" applyBorder="1" applyAlignment="1">
      <alignment horizontal="center"/>
    </xf>
    <xf numFmtId="166" fontId="8" fillId="0" borderId="3" xfId="0" applyNumberFormat="1" applyFont="1" applyBorder="1" applyAlignment="1" applyProtection="1">
      <alignment horizontal="right"/>
      <protection hidden="1"/>
    </xf>
    <xf numFmtId="0" fontId="19" fillId="0" borderId="10" xfId="0" applyFont="1" applyBorder="1" applyAlignment="1">
      <alignment horizontal="center"/>
    </xf>
    <xf numFmtId="0" fontId="18" fillId="0" borderId="11" xfId="0" applyFont="1" applyFill="1" applyBorder="1" applyProtection="1">
      <protection hidden="1"/>
    </xf>
    <xf numFmtId="0" fontId="0" fillId="0" borderId="23" xfId="0" applyBorder="1" applyProtection="1">
      <protection hidden="1"/>
    </xf>
    <xf numFmtId="0" fontId="12" fillId="0" borderId="23" xfId="0" applyFont="1" applyBorder="1" applyProtection="1">
      <protection hidden="1"/>
    </xf>
    <xf numFmtId="166" fontId="15" fillId="0" borderId="22" xfId="0" applyNumberFormat="1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3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2" fontId="0" fillId="0" borderId="0" xfId="0" applyNumberFormat="1"/>
    <xf numFmtId="0" fontId="7" fillId="0" borderId="0" xfId="0" applyFont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5" fillId="0" borderId="6" xfId="0" applyFont="1" applyFill="1" applyBorder="1" applyAlignment="1" applyProtection="1">
      <alignment horizontal="center"/>
    </xf>
    <xf numFmtId="0" fontId="17" fillId="0" borderId="0" xfId="0" applyFont="1" applyAlignment="1">
      <alignment horizontal="right"/>
    </xf>
    <xf numFmtId="2" fontId="3" fillId="0" borderId="1" xfId="0" applyNumberFormat="1" applyFont="1" applyBorder="1"/>
    <xf numFmtId="166" fontId="24" fillId="0" borderId="0" xfId="0" applyNumberFormat="1" applyFont="1" applyBorder="1"/>
    <xf numFmtId="0" fontId="27" fillId="0" borderId="0" xfId="0" applyFont="1" applyProtection="1">
      <protection hidden="1"/>
    </xf>
    <xf numFmtId="0" fontId="27" fillId="0" borderId="0" xfId="0" applyFont="1"/>
    <xf numFmtId="0" fontId="28" fillId="0" borderId="0" xfId="0" applyFont="1" applyProtection="1">
      <protection hidden="1"/>
    </xf>
    <xf numFmtId="0" fontId="29" fillId="0" borderId="0" xfId="0" applyFont="1" applyBorder="1" applyProtection="1">
      <protection locked="0"/>
    </xf>
    <xf numFmtId="0" fontId="29" fillId="0" borderId="0" xfId="0" applyFont="1"/>
    <xf numFmtId="0" fontId="5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left"/>
      <protection hidden="1"/>
    </xf>
    <xf numFmtId="0" fontId="5" fillId="0" borderId="23" xfId="0" applyFont="1" applyFill="1" applyBorder="1"/>
    <xf numFmtId="0" fontId="5" fillId="0" borderId="23" xfId="0" applyFont="1" applyBorder="1"/>
    <xf numFmtId="1" fontId="3" fillId="0" borderId="23" xfId="0" applyNumberFormat="1" applyFont="1" applyBorder="1"/>
    <xf numFmtId="0" fontId="26" fillId="0" borderId="41" xfId="0" applyFont="1" applyFill="1" applyBorder="1" applyAlignment="1" applyProtection="1">
      <alignment horizontal="center"/>
      <protection hidden="1"/>
    </xf>
    <xf numFmtId="0" fontId="26" fillId="0" borderId="42" xfId="0" applyFont="1" applyFill="1" applyBorder="1" applyAlignment="1" applyProtection="1">
      <alignment horizontal="center"/>
      <protection hidden="1"/>
    </xf>
    <xf numFmtId="0" fontId="26" fillId="0" borderId="43" xfId="0" applyFont="1" applyFill="1" applyBorder="1" applyAlignment="1" applyProtection="1">
      <alignment horizontal="center"/>
      <protection hidden="1"/>
    </xf>
    <xf numFmtId="0" fontId="31" fillId="0" borderId="0" xfId="0" applyFont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hidden="1"/>
    </xf>
    <xf numFmtId="9" fontId="0" fillId="4" borderId="1" xfId="0" applyNumberFormat="1" applyFill="1" applyBorder="1" applyProtection="1"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30" fillId="0" borderId="1" xfId="0" applyFont="1" applyBorder="1" applyProtection="1">
      <protection hidden="1"/>
    </xf>
    <xf numFmtId="1" fontId="0" fillId="0" borderId="1" xfId="0" applyNumberFormat="1" applyBorder="1" applyProtection="1">
      <protection hidden="1"/>
    </xf>
    <xf numFmtId="1" fontId="30" fillId="0" borderId="1" xfId="0" applyNumberFormat="1" applyFont="1" applyBorder="1" applyProtection="1">
      <protection hidden="1"/>
    </xf>
    <xf numFmtId="166" fontId="0" fillId="4" borderId="1" xfId="0" applyNumberFormat="1" applyFill="1" applyBorder="1" applyProtection="1">
      <protection locked="0"/>
    </xf>
    <xf numFmtId="1" fontId="32" fillId="0" borderId="1" xfId="0" applyNumberFormat="1" applyFont="1" applyBorder="1" applyProtection="1">
      <protection hidden="1"/>
    </xf>
    <xf numFmtId="0" fontId="33" fillId="0" borderId="0" xfId="0" applyFont="1" applyProtection="1">
      <protection hidden="1"/>
    </xf>
    <xf numFmtId="166" fontId="0" fillId="0" borderId="0" xfId="0" applyNumberFormat="1" applyProtection="1">
      <protection hidden="1"/>
    </xf>
    <xf numFmtId="0" fontId="35" fillId="3" borderId="0" xfId="0" applyFont="1" applyFill="1" applyProtection="1">
      <protection hidden="1"/>
    </xf>
    <xf numFmtId="0" fontId="22" fillId="0" borderId="0" xfId="0" applyFont="1"/>
    <xf numFmtId="0" fontId="5" fillId="0" borderId="1" xfId="0" applyFont="1" applyBorder="1" applyAlignment="1" applyProtection="1">
      <alignment horizontal="center" textRotation="90" wrapText="1"/>
      <protection hidden="1"/>
    </xf>
    <xf numFmtId="167" fontId="4" fillId="0" borderId="0" xfId="0" applyNumberFormat="1" applyFont="1" applyBorder="1" applyAlignment="1"/>
    <xf numFmtId="0" fontId="5" fillId="0" borderId="0" xfId="0" applyFont="1" applyFill="1" applyBorder="1" applyAlignment="1">
      <alignment horizontal="right"/>
    </xf>
    <xf numFmtId="0" fontId="0" fillId="0" borderId="4" xfId="0" applyBorder="1"/>
    <xf numFmtId="0" fontId="0" fillId="0" borderId="7" xfId="0" applyBorder="1"/>
    <xf numFmtId="0" fontId="5" fillId="0" borderId="7" xfId="0" applyFont="1" applyBorder="1"/>
    <xf numFmtId="164" fontId="5" fillId="0" borderId="4" xfId="0" applyNumberFormat="1" applyFont="1" applyBorder="1"/>
    <xf numFmtId="164" fontId="5" fillId="0" borderId="7" xfId="0" applyNumberFormat="1" applyFont="1" applyBorder="1"/>
    <xf numFmtId="164" fontId="5" fillId="0" borderId="9" xfId="0" applyNumberFormat="1" applyFont="1" applyBorder="1"/>
    <xf numFmtId="0" fontId="5" fillId="0" borderId="45" xfId="0" applyFont="1" applyBorder="1" applyAlignment="1" applyProtection="1">
      <alignment horizontal="center"/>
      <protection hidden="1"/>
    </xf>
    <xf numFmtId="1" fontId="11" fillId="0" borderId="44" xfId="0" applyNumberFormat="1" applyFont="1" applyBorder="1" applyAlignment="1" applyProtection="1">
      <alignment horizontal="right"/>
      <protection hidden="1"/>
    </xf>
    <xf numFmtId="1" fontId="11" fillId="0" borderId="45" xfId="0" applyNumberFormat="1" applyFont="1" applyBorder="1" applyAlignment="1" applyProtection="1">
      <alignment horizontal="right"/>
      <protection hidden="1"/>
    </xf>
    <xf numFmtId="1" fontId="11" fillId="0" borderId="46" xfId="0" applyNumberFormat="1" applyFont="1" applyBorder="1" applyAlignment="1" applyProtection="1">
      <alignment horizontal="right"/>
      <protection hidden="1"/>
    </xf>
    <xf numFmtId="0" fontId="5" fillId="0" borderId="3" xfId="0" applyFont="1" applyBorder="1" applyAlignment="1" applyProtection="1">
      <alignment horizontal="center" vertical="center" textRotation="90" wrapText="1"/>
      <protection hidden="1"/>
    </xf>
    <xf numFmtId="167" fontId="4" fillId="0" borderId="24" xfId="0" applyNumberFormat="1" applyFont="1" applyBorder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3" borderId="6" xfId="0" applyFont="1" applyFill="1" applyBorder="1" applyAlignment="1" applyProtection="1">
      <alignment horizontal="center" textRotation="90" wrapText="1"/>
    </xf>
    <xf numFmtId="0" fontId="5" fillId="0" borderId="20" xfId="0" applyFont="1" applyBorder="1" applyAlignment="1" applyProtection="1">
      <alignment horizontal="center" textRotation="90" wrapText="1"/>
      <protection hidden="1"/>
    </xf>
    <xf numFmtId="0" fontId="5" fillId="0" borderId="21" xfId="0" applyFont="1" applyBorder="1" applyAlignment="1" applyProtection="1">
      <alignment horizontal="center" textRotation="90" wrapText="1"/>
      <protection hidden="1"/>
    </xf>
    <xf numFmtId="0" fontId="6" fillId="0" borderId="1" xfId="0" applyFont="1" applyBorder="1" applyAlignment="1">
      <alignment horizontal="center" textRotation="90" wrapText="1"/>
    </xf>
    <xf numFmtId="0" fontId="5" fillId="0" borderId="14" xfId="0" applyFont="1" applyBorder="1" applyAlignment="1" applyProtection="1">
      <alignment horizontal="center" textRotation="90" wrapText="1"/>
      <protection hidden="1"/>
    </xf>
    <xf numFmtId="0" fontId="5" fillId="0" borderId="1" xfId="0" applyFont="1" applyBorder="1" applyAlignment="1" applyProtection="1">
      <alignment horizontal="center" textRotation="90" wrapText="1"/>
      <protection hidden="1"/>
    </xf>
    <xf numFmtId="0" fontId="6" fillId="0" borderId="15" xfId="0" applyFont="1" applyBorder="1" applyAlignment="1">
      <alignment horizontal="center" textRotation="90" wrapText="1"/>
    </xf>
    <xf numFmtId="0" fontId="17" fillId="0" borderId="40" xfId="0" applyFont="1" applyBorder="1" applyAlignment="1" applyProtection="1">
      <alignment horizontal="center" vertical="center" textRotation="90" wrapText="1"/>
      <protection hidden="1"/>
    </xf>
    <xf numFmtId="0" fontId="17" fillId="0" borderId="14" xfId="0" applyFont="1" applyBorder="1" applyAlignment="1" applyProtection="1">
      <alignment horizontal="center" vertical="center" textRotation="90" wrapText="1"/>
      <protection hidden="1"/>
    </xf>
    <xf numFmtId="0" fontId="17" fillId="0" borderId="38" xfId="0" applyFont="1" applyBorder="1" applyAlignment="1" applyProtection="1">
      <alignment horizontal="center" vertical="center" textRotation="90" wrapText="1"/>
      <protection hidden="1"/>
    </xf>
    <xf numFmtId="0" fontId="17" fillId="0" borderId="1" xfId="0" applyFont="1" applyBorder="1" applyAlignment="1" applyProtection="1">
      <alignment horizontal="center" vertical="center" textRotation="90" wrapText="1"/>
      <protection hidden="1"/>
    </xf>
    <xf numFmtId="0" fontId="17" fillId="0" borderId="37" xfId="0" applyFont="1" applyBorder="1" applyAlignment="1" applyProtection="1">
      <alignment horizontal="center" vertical="center" textRotation="90" wrapText="1"/>
      <protection hidden="1"/>
    </xf>
    <xf numFmtId="0" fontId="17" fillId="0" borderId="15" xfId="0" applyFont="1" applyBorder="1" applyAlignment="1" applyProtection="1">
      <alignment horizontal="center" vertical="center" textRotation="90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5" fillId="0" borderId="44" xfId="0" applyFont="1" applyBorder="1" applyAlignment="1" applyProtection="1">
      <alignment horizontal="center" vertical="center" textRotation="90" wrapText="1"/>
      <protection hidden="1"/>
    </xf>
    <xf numFmtId="0" fontId="5" fillId="0" borderId="45" xfId="0" applyFont="1" applyBorder="1" applyAlignment="1" applyProtection="1">
      <alignment horizontal="center" vertical="center" textRotation="90" wrapText="1"/>
      <protection hidden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34" fillId="0" borderId="0" xfId="0" applyFont="1" applyAlignment="1" applyProtection="1">
      <alignment horizontal="left" vertical="center" wrapText="1"/>
      <protection hidden="1"/>
    </xf>
    <xf numFmtId="0" fontId="6" fillId="0" borderId="38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27" fillId="0" borderId="0" xfId="0" applyFont="1" applyAlignment="1" applyProtection="1">
      <alignment horizontal="center"/>
      <protection hidden="1"/>
    </xf>
    <xf numFmtId="0" fontId="23" fillId="0" borderId="31" xfId="0" applyFont="1" applyBorder="1" applyAlignment="1">
      <alignment horizontal="right" vertical="center"/>
    </xf>
    <xf numFmtId="0" fontId="23" fillId="0" borderId="33" xfId="0" applyFont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25" fillId="0" borderId="26" xfId="0" applyFont="1" applyBorder="1" applyAlignment="1" applyProtection="1">
      <alignment horizontal="center" vertical="center" wrapText="1"/>
      <protection hidden="1"/>
    </xf>
  </cellXfs>
  <cellStyles count="5">
    <cellStyle name="Standard 3" xfId="3" xr:uid="{00000000-0005-0000-0000-000000000000}"/>
    <cellStyle name="Standard 4" xfId="1" xr:uid="{00000000-0005-0000-0000-000001000000}"/>
    <cellStyle name="Standard 4 2" xfId="2" xr:uid="{00000000-0005-0000-0000-000002000000}"/>
    <cellStyle name="Standard 4 2 2" xfId="4" xr:uid="{00000000-0005-0000-0000-000003000000}"/>
    <cellStyle name="Обычный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003399"/>
      <color rgb="FFFFFF99"/>
      <color rgb="FF336699"/>
      <color rgb="FF0066CC"/>
      <color rgb="FF000099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75142</xdr:colOff>
      <xdr:row>0</xdr:row>
      <xdr:rowOff>0</xdr:rowOff>
    </xdr:from>
    <xdr:ext cx="8281973" cy="2071158"/>
    <xdr:pic>
      <xdr:nvPicPr>
        <xdr:cNvPr id="6" name="Рисунок 5">
          <a:extLst>
            <a:ext uri="{FF2B5EF4-FFF2-40B4-BE49-F238E27FC236}">
              <a16:creationId xmlns:a16="http://schemas.microsoft.com/office/drawing/2014/main" id="{FC2CAB5E-977B-4131-97F8-7A2538928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8225" y="0"/>
          <a:ext cx="8281973" cy="2071158"/>
        </a:xfrm>
        <a:prstGeom prst="rect">
          <a:avLst/>
        </a:prstGeom>
      </xdr:spPr>
    </xdr:pic>
    <xdr:clientData/>
  </xdr:oneCellAnchor>
  <xdr:oneCellAnchor>
    <xdr:from>
      <xdr:col>9</xdr:col>
      <xdr:colOff>419101</xdr:colOff>
      <xdr:row>2</xdr:row>
      <xdr:rowOff>6338</xdr:rowOff>
    </xdr:from>
    <xdr:ext cx="1452033" cy="516169"/>
    <xdr:pic>
      <xdr:nvPicPr>
        <xdr:cNvPr id="7" name="Рисунок 6">
          <a:extLst>
            <a:ext uri="{FF2B5EF4-FFF2-40B4-BE49-F238E27FC236}">
              <a16:creationId xmlns:a16="http://schemas.microsoft.com/office/drawing/2014/main" id="{330B1385-EB34-436F-BBEF-2CC4415AA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6" y="434963"/>
          <a:ext cx="1447800" cy="518285"/>
        </a:xfrm>
        <a:prstGeom prst="rect">
          <a:avLst/>
        </a:prstGeom>
        <a:solidFill>
          <a:schemeClr val="accent1">
            <a:lumMod val="20000"/>
            <a:lumOff val="80000"/>
            <a:alpha val="28000"/>
          </a:schemeClr>
        </a:solidFill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C116"/>
  <sheetViews>
    <sheetView tabSelected="1" zoomScaleNormal="100" workbookViewId="0">
      <pane ySplit="4" topLeftCell="A5" activePane="bottomLeft" state="frozen"/>
      <selection pane="bottomLeft" activeCell="J5" sqref="J5"/>
    </sheetView>
  </sheetViews>
  <sheetFormatPr defaultColWidth="10" defaultRowHeight="14" x14ac:dyDescent="0.3"/>
  <cols>
    <col min="1" max="1" width="7.5" customWidth="1"/>
    <col min="2" max="2" width="32.5" customWidth="1"/>
    <col min="3" max="5" width="3.58203125" customWidth="1"/>
    <col min="6" max="9" width="2.58203125" customWidth="1"/>
    <col min="10" max="10" width="7.25" customWidth="1"/>
    <col min="11" max="11" width="5.75" customWidth="1"/>
    <col min="12" max="14" width="4.5" customWidth="1"/>
    <col min="15" max="15" width="5.83203125" customWidth="1"/>
    <col min="16" max="16" width="4.5" customWidth="1"/>
    <col min="17" max="17" width="4.5" style="9" customWidth="1"/>
    <col min="18" max="18" width="5.25" customWidth="1"/>
    <col min="19" max="19" width="6.33203125" customWidth="1"/>
    <col min="20" max="20" width="8.33203125" bestFit="1" customWidth="1"/>
    <col min="21" max="21" width="8.75" customWidth="1"/>
    <col min="22" max="28" width="5.58203125" hidden="1" customWidth="1"/>
  </cols>
  <sheetData>
    <row r="1" spans="1:29" ht="18.5" thickBot="1" x14ac:dyDescent="0.45">
      <c r="A1" s="7" t="s">
        <v>149</v>
      </c>
      <c r="K1" s="8"/>
      <c r="N1" s="148">
        <f ca="1">NOW()</f>
        <v>44007.546974537036</v>
      </c>
      <c r="O1" s="148"/>
      <c r="R1" s="135"/>
      <c r="S1" s="99"/>
      <c r="T1" s="2"/>
      <c r="U1" s="181" t="s">
        <v>74</v>
      </c>
      <c r="V1" s="182"/>
      <c r="W1" s="182"/>
      <c r="X1" s="182"/>
      <c r="Y1" s="183"/>
    </row>
    <row r="2" spans="1:29" ht="14.5" thickBot="1" x14ac:dyDescent="0.35">
      <c r="A2" s="172" t="s">
        <v>119</v>
      </c>
      <c r="B2" s="186" t="s">
        <v>120</v>
      </c>
      <c r="C2" s="189" t="s">
        <v>150</v>
      </c>
      <c r="D2" s="190"/>
      <c r="E2" s="190"/>
      <c r="F2" s="166" t="s">
        <v>132</v>
      </c>
      <c r="G2" s="167"/>
      <c r="H2" s="167"/>
      <c r="I2" s="168"/>
      <c r="J2" s="152" t="s">
        <v>123</v>
      </c>
      <c r="K2" s="154" t="s">
        <v>124</v>
      </c>
      <c r="L2" s="149" t="s">
        <v>128</v>
      </c>
      <c r="M2" s="150"/>
      <c r="N2" s="150"/>
      <c r="O2" s="151"/>
      <c r="P2" s="149" t="s">
        <v>129</v>
      </c>
      <c r="Q2" s="150"/>
      <c r="R2" s="150"/>
      <c r="S2" s="151"/>
      <c r="T2" s="147" t="s">
        <v>130</v>
      </c>
      <c r="U2" s="170" t="s">
        <v>131</v>
      </c>
      <c r="V2" s="137"/>
      <c r="W2" s="71"/>
      <c r="X2" s="71"/>
      <c r="Y2" s="71"/>
      <c r="Z2" s="71"/>
      <c r="AA2" s="71"/>
      <c r="AB2" s="71"/>
    </row>
    <row r="3" spans="1:29" ht="54.5" customHeight="1" x14ac:dyDescent="0.55000000000000004">
      <c r="A3" s="173"/>
      <c r="B3" s="187"/>
      <c r="C3" s="184" t="s">
        <v>121</v>
      </c>
      <c r="D3" s="178" t="s">
        <v>133</v>
      </c>
      <c r="E3" s="179" t="s">
        <v>122</v>
      </c>
      <c r="F3" s="160" t="s">
        <v>80</v>
      </c>
      <c r="G3" s="162" t="s">
        <v>81</v>
      </c>
      <c r="H3" s="162" t="s">
        <v>70</v>
      </c>
      <c r="I3" s="164" t="s">
        <v>71</v>
      </c>
      <c r="J3" s="153"/>
      <c r="K3" s="155"/>
      <c r="L3" s="157" t="s">
        <v>125</v>
      </c>
      <c r="M3" s="158"/>
      <c r="N3" s="134" t="s">
        <v>126</v>
      </c>
      <c r="O3" s="75" t="s">
        <v>127</v>
      </c>
      <c r="P3" s="157" t="s">
        <v>125</v>
      </c>
      <c r="Q3" s="158"/>
      <c r="R3" s="134" t="s">
        <v>126</v>
      </c>
      <c r="S3" s="75" t="s">
        <v>127</v>
      </c>
      <c r="T3" s="169"/>
      <c r="U3" s="171"/>
      <c r="V3" s="138"/>
      <c r="W3" s="69"/>
      <c r="X3" s="69"/>
      <c r="Y3" s="70"/>
      <c r="Z3" s="66"/>
      <c r="AA3" s="66"/>
      <c r="AB3" s="66"/>
    </row>
    <row r="4" spans="1:29" ht="12.5" customHeight="1" thickBot="1" x14ac:dyDescent="0.35">
      <c r="A4" s="174"/>
      <c r="B4" s="188"/>
      <c r="C4" s="185"/>
      <c r="D4" s="156"/>
      <c r="E4" s="159"/>
      <c r="F4" s="161"/>
      <c r="G4" s="163"/>
      <c r="H4" s="163"/>
      <c r="I4" s="165"/>
      <c r="J4" s="98" t="s">
        <v>5</v>
      </c>
      <c r="K4" s="74" t="s">
        <v>6</v>
      </c>
      <c r="L4" s="76" t="s">
        <v>7</v>
      </c>
      <c r="M4" s="67" t="s">
        <v>5</v>
      </c>
      <c r="N4" s="67" t="s">
        <v>7</v>
      </c>
      <c r="O4" s="77" t="s">
        <v>5</v>
      </c>
      <c r="P4" s="76" t="s">
        <v>7</v>
      </c>
      <c r="Q4" s="68" t="s">
        <v>5</v>
      </c>
      <c r="R4" s="67" t="s">
        <v>7</v>
      </c>
      <c r="S4" s="77" t="s">
        <v>5</v>
      </c>
      <c r="T4" s="73" t="s">
        <v>8</v>
      </c>
      <c r="U4" s="143" t="s">
        <v>5</v>
      </c>
      <c r="V4" s="139"/>
      <c r="W4" s="40"/>
      <c r="X4" s="40"/>
      <c r="Y4" s="40"/>
      <c r="Z4" s="40"/>
      <c r="AA4" s="40"/>
      <c r="AB4" s="40"/>
    </row>
    <row r="5" spans="1:29" ht="14.5" x14ac:dyDescent="0.35">
      <c r="A5" s="116">
        <v>7132444</v>
      </c>
      <c r="B5" s="85" t="s">
        <v>15</v>
      </c>
      <c r="C5" s="48" t="s">
        <v>3</v>
      </c>
      <c r="D5" s="4" t="s">
        <v>66</v>
      </c>
      <c r="E5" s="49" t="s">
        <v>67</v>
      </c>
      <c r="F5" s="58" t="s">
        <v>69</v>
      </c>
      <c r="G5" s="82"/>
      <c r="H5" s="71"/>
      <c r="I5" s="60"/>
      <c r="J5" s="91"/>
      <c r="K5" s="35">
        <v>0.14000000000000001</v>
      </c>
      <c r="L5" s="10">
        <v>2</v>
      </c>
      <c r="M5" s="11">
        <v>70</v>
      </c>
      <c r="N5" s="12">
        <f t="shared" ref="N5:N36" si="0">ROUND((V5-R5)*Q5/M5,0)</f>
        <v>0</v>
      </c>
      <c r="O5" s="13">
        <f t="shared" ref="O5:O56" si="1">N5*M5</f>
        <v>0</v>
      </c>
      <c r="P5" s="10">
        <v>25</v>
      </c>
      <c r="Q5" s="14">
        <v>1750</v>
      </c>
      <c r="R5" s="15">
        <f t="shared" ref="R5:R56" si="2">ROUND(IF(V5&gt;99.99,LEFT(V5,3),IF(V5&gt;9.99,LEFT(V5,2),LEFT(V5,1))),0)</f>
        <v>0</v>
      </c>
      <c r="S5" s="13">
        <f t="shared" ref="S5:S56" si="3">R5*Q5</f>
        <v>0</v>
      </c>
      <c r="T5" s="83">
        <f t="shared" ref="T5:T36" si="4">K5*U5</f>
        <v>0</v>
      </c>
      <c r="U5" s="144">
        <f t="shared" ref="U5:U56" si="5">O5+S5</f>
        <v>0</v>
      </c>
      <c r="V5" s="140">
        <f t="shared" ref="V5:V36" si="6">ROUND(J5/Q5,3)</f>
        <v>0</v>
      </c>
      <c r="W5" s="44">
        <f t="shared" ref="W5:W36" si="7">O5/Q5</f>
        <v>0</v>
      </c>
      <c r="X5" s="44">
        <f>IF(W5&gt;0,1,0)</f>
        <v>0</v>
      </c>
      <c r="Y5" s="45">
        <v>0.9</v>
      </c>
      <c r="Z5" s="45">
        <f t="shared" ref="Z5:Z56" si="8">W5*Y5</f>
        <v>0</v>
      </c>
      <c r="AA5" s="45">
        <f t="shared" ref="AA5:AA36" si="9">R5*Y5</f>
        <v>0</v>
      </c>
      <c r="AB5" s="45">
        <f t="shared" ref="AB5:AB56" si="10">SUM(Z5:AA5)</f>
        <v>0</v>
      </c>
      <c r="AC5" s="133" t="str">
        <f>IF(U5&lt;J5,"Количество меньше вводимого!","")</f>
        <v/>
      </c>
    </row>
    <row r="6" spans="1:29" ht="14.5" x14ac:dyDescent="0.35">
      <c r="A6" s="117">
        <v>7132445</v>
      </c>
      <c r="B6" s="80" t="s">
        <v>16</v>
      </c>
      <c r="C6" s="50" t="s">
        <v>3</v>
      </c>
      <c r="D6" s="5" t="s">
        <v>66</v>
      </c>
      <c r="E6" s="51" t="s">
        <v>67</v>
      </c>
      <c r="F6" s="55" t="s">
        <v>69</v>
      </c>
      <c r="G6" s="65"/>
      <c r="H6" s="66"/>
      <c r="I6" s="57"/>
      <c r="J6" s="92"/>
      <c r="K6" s="36">
        <v>0.19600000000000001</v>
      </c>
      <c r="L6" s="16">
        <v>2</v>
      </c>
      <c r="M6" s="17">
        <v>70</v>
      </c>
      <c r="N6" s="18">
        <f t="shared" si="0"/>
        <v>0</v>
      </c>
      <c r="O6" s="19">
        <f t="shared" si="1"/>
        <v>0</v>
      </c>
      <c r="P6" s="16">
        <v>20</v>
      </c>
      <c r="Q6" s="20">
        <v>1400</v>
      </c>
      <c r="R6" s="21">
        <f t="shared" si="2"/>
        <v>0</v>
      </c>
      <c r="S6" s="19">
        <f t="shared" si="3"/>
        <v>0</v>
      </c>
      <c r="T6" s="78">
        <f t="shared" si="4"/>
        <v>0</v>
      </c>
      <c r="U6" s="145">
        <f t="shared" si="5"/>
        <v>0</v>
      </c>
      <c r="V6" s="141">
        <f t="shared" si="6"/>
        <v>0</v>
      </c>
      <c r="W6" s="41">
        <f t="shared" si="7"/>
        <v>0</v>
      </c>
      <c r="X6" s="41">
        <f t="shared" ref="X6:X69" si="11">IF(W6&gt;0,1,0)</f>
        <v>0</v>
      </c>
      <c r="Y6" s="40">
        <v>0.9</v>
      </c>
      <c r="Z6" s="40">
        <f t="shared" si="8"/>
        <v>0</v>
      </c>
      <c r="AA6" s="40">
        <f t="shared" si="9"/>
        <v>0</v>
      </c>
      <c r="AB6" s="40">
        <f t="shared" si="10"/>
        <v>0</v>
      </c>
      <c r="AC6" s="133" t="str">
        <f t="shared" ref="AC6:AC69" si="12">IF(U6&lt;J6,"Количество меньше вводимого!","")</f>
        <v/>
      </c>
    </row>
    <row r="7" spans="1:29" ht="14.5" x14ac:dyDescent="0.35">
      <c r="A7" s="117">
        <v>7132446</v>
      </c>
      <c r="B7" s="80" t="s">
        <v>17</v>
      </c>
      <c r="C7" s="50" t="s">
        <v>3</v>
      </c>
      <c r="D7" s="5" t="s">
        <v>66</v>
      </c>
      <c r="E7" s="51" t="s">
        <v>67</v>
      </c>
      <c r="F7" s="55" t="s">
        <v>69</v>
      </c>
      <c r="G7" s="65"/>
      <c r="H7" s="66"/>
      <c r="I7" s="57"/>
      <c r="J7" s="92"/>
      <c r="K7" s="36">
        <v>0.252</v>
      </c>
      <c r="L7" s="16">
        <v>1</v>
      </c>
      <c r="M7" s="17">
        <v>35</v>
      </c>
      <c r="N7" s="18">
        <f t="shared" si="0"/>
        <v>0</v>
      </c>
      <c r="O7" s="19">
        <f t="shared" si="1"/>
        <v>0</v>
      </c>
      <c r="P7" s="16">
        <v>25</v>
      </c>
      <c r="Q7" s="20">
        <v>875</v>
      </c>
      <c r="R7" s="21">
        <f t="shared" si="2"/>
        <v>0</v>
      </c>
      <c r="S7" s="19">
        <f t="shared" si="3"/>
        <v>0</v>
      </c>
      <c r="T7" s="78">
        <f t="shared" si="4"/>
        <v>0</v>
      </c>
      <c r="U7" s="145">
        <f t="shared" si="5"/>
        <v>0</v>
      </c>
      <c r="V7" s="141">
        <f t="shared" si="6"/>
        <v>0</v>
      </c>
      <c r="W7" s="41">
        <f t="shared" si="7"/>
        <v>0</v>
      </c>
      <c r="X7" s="41">
        <f t="shared" si="11"/>
        <v>0</v>
      </c>
      <c r="Y7" s="40">
        <v>0.9</v>
      </c>
      <c r="Z7" s="40">
        <f t="shared" si="8"/>
        <v>0</v>
      </c>
      <c r="AA7" s="40">
        <f t="shared" si="9"/>
        <v>0</v>
      </c>
      <c r="AB7" s="40">
        <f t="shared" si="10"/>
        <v>0</v>
      </c>
      <c r="AC7" s="133" t="str">
        <f t="shared" si="12"/>
        <v/>
      </c>
    </row>
    <row r="8" spans="1:29" ht="14.5" x14ac:dyDescent="0.35">
      <c r="A8" s="117">
        <v>7132447</v>
      </c>
      <c r="B8" s="80" t="s">
        <v>18</v>
      </c>
      <c r="C8" s="50" t="s">
        <v>3</v>
      </c>
      <c r="D8" s="5" t="s">
        <v>66</v>
      </c>
      <c r="E8" s="51" t="s">
        <v>67</v>
      </c>
      <c r="F8" s="55" t="s">
        <v>69</v>
      </c>
      <c r="G8" s="65"/>
      <c r="H8" s="66"/>
      <c r="I8" s="57"/>
      <c r="J8" s="92"/>
      <c r="K8" s="36">
        <v>0.308</v>
      </c>
      <c r="L8" s="16">
        <v>1</v>
      </c>
      <c r="M8" s="17">
        <v>35</v>
      </c>
      <c r="N8" s="18">
        <f t="shared" si="0"/>
        <v>0</v>
      </c>
      <c r="O8" s="19">
        <f t="shared" si="1"/>
        <v>0</v>
      </c>
      <c r="P8" s="16">
        <v>20</v>
      </c>
      <c r="Q8" s="20">
        <v>700</v>
      </c>
      <c r="R8" s="21">
        <f t="shared" si="2"/>
        <v>0</v>
      </c>
      <c r="S8" s="19">
        <f t="shared" si="3"/>
        <v>0</v>
      </c>
      <c r="T8" s="78">
        <f t="shared" si="4"/>
        <v>0</v>
      </c>
      <c r="U8" s="145">
        <f t="shared" si="5"/>
        <v>0</v>
      </c>
      <c r="V8" s="141">
        <f t="shared" si="6"/>
        <v>0</v>
      </c>
      <c r="W8" s="41">
        <f t="shared" si="7"/>
        <v>0</v>
      </c>
      <c r="X8" s="41">
        <f t="shared" si="11"/>
        <v>0</v>
      </c>
      <c r="Y8" s="40">
        <v>0.9</v>
      </c>
      <c r="Z8" s="40">
        <f t="shared" si="8"/>
        <v>0</v>
      </c>
      <c r="AA8" s="40">
        <f t="shared" si="9"/>
        <v>0</v>
      </c>
      <c r="AB8" s="40">
        <f t="shared" si="10"/>
        <v>0</v>
      </c>
      <c r="AC8" s="133" t="str">
        <f t="shared" si="12"/>
        <v/>
      </c>
    </row>
    <row r="9" spans="1:29" ht="14.5" x14ac:dyDescent="0.35">
      <c r="A9" s="117">
        <v>7132448</v>
      </c>
      <c r="B9" s="80" t="s">
        <v>19</v>
      </c>
      <c r="C9" s="50" t="s">
        <v>3</v>
      </c>
      <c r="D9" s="5" t="s">
        <v>66</v>
      </c>
      <c r="E9" s="51" t="s">
        <v>67</v>
      </c>
      <c r="F9" s="55" t="s">
        <v>69</v>
      </c>
      <c r="G9" s="65"/>
      <c r="H9" s="66"/>
      <c r="I9" s="57"/>
      <c r="J9" s="92"/>
      <c r="K9" s="36">
        <v>0.39100000000000001</v>
      </c>
      <c r="L9" s="16">
        <v>1</v>
      </c>
      <c r="M9" s="17">
        <v>25</v>
      </c>
      <c r="N9" s="18">
        <f t="shared" si="0"/>
        <v>0</v>
      </c>
      <c r="O9" s="19">
        <f t="shared" si="1"/>
        <v>0</v>
      </c>
      <c r="P9" s="16">
        <v>20</v>
      </c>
      <c r="Q9" s="20">
        <v>500</v>
      </c>
      <c r="R9" s="21">
        <f t="shared" si="2"/>
        <v>0</v>
      </c>
      <c r="S9" s="19">
        <f t="shared" si="3"/>
        <v>0</v>
      </c>
      <c r="T9" s="78">
        <f t="shared" si="4"/>
        <v>0</v>
      </c>
      <c r="U9" s="145">
        <f t="shared" si="5"/>
        <v>0</v>
      </c>
      <c r="V9" s="141">
        <f t="shared" si="6"/>
        <v>0</v>
      </c>
      <c r="W9" s="41">
        <f t="shared" si="7"/>
        <v>0</v>
      </c>
      <c r="X9" s="41">
        <f t="shared" si="11"/>
        <v>0</v>
      </c>
      <c r="Y9" s="40">
        <v>0.9</v>
      </c>
      <c r="Z9" s="40">
        <f t="shared" si="8"/>
        <v>0</v>
      </c>
      <c r="AA9" s="40">
        <f t="shared" si="9"/>
        <v>0</v>
      </c>
      <c r="AB9" s="40">
        <f t="shared" si="10"/>
        <v>0</v>
      </c>
      <c r="AC9" s="133" t="str">
        <f t="shared" si="12"/>
        <v/>
      </c>
    </row>
    <row r="10" spans="1:29" ht="14.5" x14ac:dyDescent="0.35">
      <c r="A10" s="117">
        <v>7132449</v>
      </c>
      <c r="B10" s="80" t="s">
        <v>20</v>
      </c>
      <c r="C10" s="50" t="s">
        <v>3</v>
      </c>
      <c r="D10" s="5" t="s">
        <v>66</v>
      </c>
      <c r="E10" s="51" t="s">
        <v>67</v>
      </c>
      <c r="F10" s="55" t="s">
        <v>69</v>
      </c>
      <c r="G10" s="65"/>
      <c r="H10" s="66"/>
      <c r="I10" s="57"/>
      <c r="J10" s="92"/>
      <c r="K10" s="36">
        <v>0.41899999999999998</v>
      </c>
      <c r="L10" s="16">
        <v>1</v>
      </c>
      <c r="M10" s="17">
        <v>25</v>
      </c>
      <c r="N10" s="18">
        <f t="shared" si="0"/>
        <v>0</v>
      </c>
      <c r="O10" s="19">
        <f t="shared" si="1"/>
        <v>0</v>
      </c>
      <c r="P10" s="16">
        <v>20</v>
      </c>
      <c r="Q10" s="20">
        <v>500</v>
      </c>
      <c r="R10" s="21">
        <f t="shared" si="2"/>
        <v>0</v>
      </c>
      <c r="S10" s="19">
        <f t="shared" si="3"/>
        <v>0</v>
      </c>
      <c r="T10" s="78">
        <f t="shared" si="4"/>
        <v>0</v>
      </c>
      <c r="U10" s="145">
        <f t="shared" si="5"/>
        <v>0</v>
      </c>
      <c r="V10" s="141">
        <f t="shared" si="6"/>
        <v>0</v>
      </c>
      <c r="W10" s="41">
        <f t="shared" si="7"/>
        <v>0</v>
      </c>
      <c r="X10" s="41">
        <f t="shared" si="11"/>
        <v>0</v>
      </c>
      <c r="Y10" s="40">
        <v>0.9</v>
      </c>
      <c r="Z10" s="40">
        <f t="shared" si="8"/>
        <v>0</v>
      </c>
      <c r="AA10" s="40">
        <f t="shared" si="9"/>
        <v>0</v>
      </c>
      <c r="AB10" s="40">
        <f t="shared" si="10"/>
        <v>0</v>
      </c>
      <c r="AC10" s="133" t="str">
        <f t="shared" si="12"/>
        <v/>
      </c>
    </row>
    <row r="11" spans="1:29" ht="14.5" x14ac:dyDescent="0.35">
      <c r="A11" s="117">
        <v>7132450</v>
      </c>
      <c r="B11" s="80" t="s">
        <v>21</v>
      </c>
      <c r="C11" s="50" t="s">
        <v>3</v>
      </c>
      <c r="D11" s="5" t="s">
        <v>66</v>
      </c>
      <c r="E11" s="51" t="s">
        <v>67</v>
      </c>
      <c r="F11" s="55"/>
      <c r="G11" s="65" t="s">
        <v>69</v>
      </c>
      <c r="H11" s="66"/>
      <c r="I11" s="57"/>
      <c r="J11" s="92"/>
      <c r="K11" s="36">
        <v>0.47499999999999998</v>
      </c>
      <c r="L11" s="16">
        <v>1</v>
      </c>
      <c r="M11" s="17">
        <v>25</v>
      </c>
      <c r="N11" s="18">
        <f t="shared" si="0"/>
        <v>0</v>
      </c>
      <c r="O11" s="19">
        <f t="shared" si="1"/>
        <v>0</v>
      </c>
      <c r="P11" s="16">
        <v>20</v>
      </c>
      <c r="Q11" s="20">
        <v>500</v>
      </c>
      <c r="R11" s="21">
        <f t="shared" si="2"/>
        <v>0</v>
      </c>
      <c r="S11" s="19">
        <f t="shared" si="3"/>
        <v>0</v>
      </c>
      <c r="T11" s="78">
        <f t="shared" si="4"/>
        <v>0</v>
      </c>
      <c r="U11" s="145">
        <f t="shared" si="5"/>
        <v>0</v>
      </c>
      <c r="V11" s="141">
        <f t="shared" si="6"/>
        <v>0</v>
      </c>
      <c r="W11" s="41">
        <f t="shared" si="7"/>
        <v>0</v>
      </c>
      <c r="X11" s="41">
        <f t="shared" si="11"/>
        <v>0</v>
      </c>
      <c r="Y11" s="40">
        <v>1.02</v>
      </c>
      <c r="Z11" s="40">
        <f t="shared" si="8"/>
        <v>0</v>
      </c>
      <c r="AA11" s="40">
        <f t="shared" si="9"/>
        <v>0</v>
      </c>
      <c r="AB11" s="40">
        <f t="shared" si="10"/>
        <v>0</v>
      </c>
      <c r="AC11" s="133" t="str">
        <f t="shared" si="12"/>
        <v/>
      </c>
    </row>
    <row r="12" spans="1:29" ht="15" thickBot="1" x14ac:dyDescent="0.4">
      <c r="A12" s="118">
        <v>7132451</v>
      </c>
      <c r="B12" s="81" t="s">
        <v>22</v>
      </c>
      <c r="C12" s="52" t="s">
        <v>3</v>
      </c>
      <c r="D12" s="6" t="s">
        <v>66</v>
      </c>
      <c r="E12" s="53" t="s">
        <v>67</v>
      </c>
      <c r="F12" s="61"/>
      <c r="G12" s="84" t="s">
        <v>69</v>
      </c>
      <c r="H12" s="72"/>
      <c r="I12" s="62"/>
      <c r="J12" s="93"/>
      <c r="K12" s="37">
        <v>0.58699999999999997</v>
      </c>
      <c r="L12" s="27">
        <v>1</v>
      </c>
      <c r="M12" s="26">
        <v>25</v>
      </c>
      <c r="N12" s="22">
        <f t="shared" si="0"/>
        <v>0</v>
      </c>
      <c r="O12" s="23">
        <f t="shared" si="1"/>
        <v>0</v>
      </c>
      <c r="P12" s="27">
        <v>20</v>
      </c>
      <c r="Q12" s="24">
        <v>500</v>
      </c>
      <c r="R12" s="25">
        <f t="shared" si="2"/>
        <v>0</v>
      </c>
      <c r="S12" s="23">
        <f t="shared" si="3"/>
        <v>0</v>
      </c>
      <c r="T12" s="79">
        <f t="shared" si="4"/>
        <v>0</v>
      </c>
      <c r="U12" s="146">
        <f t="shared" si="5"/>
        <v>0</v>
      </c>
      <c r="V12" s="142">
        <f t="shared" si="6"/>
        <v>0</v>
      </c>
      <c r="W12" s="46">
        <f t="shared" si="7"/>
        <v>0</v>
      </c>
      <c r="X12" s="46">
        <f t="shared" si="11"/>
        <v>0</v>
      </c>
      <c r="Y12" s="47">
        <v>1.02</v>
      </c>
      <c r="Z12" s="47">
        <f t="shared" si="8"/>
        <v>0</v>
      </c>
      <c r="AA12" s="47">
        <f t="shared" si="9"/>
        <v>0</v>
      </c>
      <c r="AB12" s="47">
        <f t="shared" si="10"/>
        <v>0</v>
      </c>
      <c r="AC12" s="133" t="str">
        <f t="shared" si="12"/>
        <v/>
      </c>
    </row>
    <row r="13" spans="1:29" ht="14.5" x14ac:dyDescent="0.35">
      <c r="A13" s="116">
        <v>7088169</v>
      </c>
      <c r="B13" s="85" t="s">
        <v>23</v>
      </c>
      <c r="C13" s="48" t="s">
        <v>3</v>
      </c>
      <c r="D13" s="4" t="s">
        <v>4</v>
      </c>
      <c r="E13" s="49" t="s">
        <v>68</v>
      </c>
      <c r="F13" s="58" t="s">
        <v>69</v>
      </c>
      <c r="G13" s="82"/>
      <c r="H13" s="71"/>
      <c r="I13" s="60"/>
      <c r="J13" s="91"/>
      <c r="K13" s="35">
        <v>0.14000000000000001</v>
      </c>
      <c r="L13" s="10">
        <v>1</v>
      </c>
      <c r="M13" s="11">
        <v>25</v>
      </c>
      <c r="N13" s="12">
        <f t="shared" si="0"/>
        <v>0</v>
      </c>
      <c r="O13" s="13">
        <f t="shared" si="1"/>
        <v>0</v>
      </c>
      <c r="P13" s="10">
        <v>45</v>
      </c>
      <c r="Q13" s="14">
        <v>1125</v>
      </c>
      <c r="R13" s="15">
        <f t="shared" si="2"/>
        <v>0</v>
      </c>
      <c r="S13" s="13">
        <f t="shared" si="3"/>
        <v>0</v>
      </c>
      <c r="T13" s="83">
        <f t="shared" si="4"/>
        <v>0</v>
      </c>
      <c r="U13" s="144">
        <f t="shared" si="5"/>
        <v>0</v>
      </c>
      <c r="V13" s="140">
        <f t="shared" si="6"/>
        <v>0</v>
      </c>
      <c r="W13" s="44">
        <f t="shared" si="7"/>
        <v>0</v>
      </c>
      <c r="X13" s="44">
        <f t="shared" si="11"/>
        <v>0</v>
      </c>
      <c r="Y13" s="45">
        <v>0.9</v>
      </c>
      <c r="Z13" s="45">
        <f t="shared" si="8"/>
        <v>0</v>
      </c>
      <c r="AA13" s="45">
        <f t="shared" si="9"/>
        <v>0</v>
      </c>
      <c r="AB13" s="45">
        <f t="shared" si="10"/>
        <v>0</v>
      </c>
      <c r="AC13" s="133" t="str">
        <f t="shared" si="12"/>
        <v/>
      </c>
    </row>
    <row r="14" spans="1:29" ht="14.5" x14ac:dyDescent="0.35">
      <c r="A14" s="117">
        <v>7088170</v>
      </c>
      <c r="B14" s="80" t="s">
        <v>24</v>
      </c>
      <c r="C14" s="50" t="s">
        <v>3</v>
      </c>
      <c r="D14" s="5" t="s">
        <v>4</v>
      </c>
      <c r="E14" s="51" t="s">
        <v>68</v>
      </c>
      <c r="F14" s="55" t="s">
        <v>69</v>
      </c>
      <c r="G14" s="65"/>
      <c r="H14" s="66"/>
      <c r="I14" s="57"/>
      <c r="J14" s="92"/>
      <c r="K14" s="36">
        <v>0.19600000000000001</v>
      </c>
      <c r="L14" s="16">
        <v>1</v>
      </c>
      <c r="M14" s="17">
        <v>25</v>
      </c>
      <c r="N14" s="18">
        <f t="shared" si="0"/>
        <v>0</v>
      </c>
      <c r="O14" s="19">
        <f t="shared" si="1"/>
        <v>0</v>
      </c>
      <c r="P14" s="16">
        <v>35</v>
      </c>
      <c r="Q14" s="20">
        <v>875</v>
      </c>
      <c r="R14" s="21">
        <f t="shared" si="2"/>
        <v>0</v>
      </c>
      <c r="S14" s="19">
        <f t="shared" si="3"/>
        <v>0</v>
      </c>
      <c r="T14" s="78">
        <f t="shared" si="4"/>
        <v>0</v>
      </c>
      <c r="U14" s="145">
        <f t="shared" si="5"/>
        <v>0</v>
      </c>
      <c r="V14" s="141">
        <f t="shared" si="6"/>
        <v>0</v>
      </c>
      <c r="W14" s="41">
        <f t="shared" si="7"/>
        <v>0</v>
      </c>
      <c r="X14" s="41">
        <f t="shared" si="11"/>
        <v>0</v>
      </c>
      <c r="Y14" s="40">
        <v>0.9</v>
      </c>
      <c r="Z14" s="40">
        <f t="shared" si="8"/>
        <v>0</v>
      </c>
      <c r="AA14" s="40">
        <f t="shared" si="9"/>
        <v>0</v>
      </c>
      <c r="AB14" s="40">
        <f t="shared" si="10"/>
        <v>0</v>
      </c>
      <c r="AC14" s="133" t="str">
        <f t="shared" si="12"/>
        <v/>
      </c>
    </row>
    <row r="15" spans="1:29" ht="14.5" x14ac:dyDescent="0.35">
      <c r="A15" s="117">
        <v>7088172</v>
      </c>
      <c r="B15" s="80" t="s">
        <v>25</v>
      </c>
      <c r="C15" s="50" t="s">
        <v>3</v>
      </c>
      <c r="D15" s="5" t="s">
        <v>4</v>
      </c>
      <c r="E15" s="51" t="s">
        <v>68</v>
      </c>
      <c r="F15" s="55" t="s">
        <v>69</v>
      </c>
      <c r="G15" s="65"/>
      <c r="H15" s="66"/>
      <c r="I15" s="57"/>
      <c r="J15" s="92"/>
      <c r="K15" s="36">
        <v>0.252</v>
      </c>
      <c r="L15" s="16">
        <v>1</v>
      </c>
      <c r="M15" s="17">
        <v>25</v>
      </c>
      <c r="N15" s="18">
        <f t="shared" si="0"/>
        <v>0</v>
      </c>
      <c r="O15" s="19">
        <f t="shared" si="1"/>
        <v>0</v>
      </c>
      <c r="P15" s="16">
        <v>25</v>
      </c>
      <c r="Q15" s="20">
        <v>625</v>
      </c>
      <c r="R15" s="21">
        <f t="shared" si="2"/>
        <v>0</v>
      </c>
      <c r="S15" s="19">
        <f t="shared" si="3"/>
        <v>0</v>
      </c>
      <c r="T15" s="78">
        <f t="shared" si="4"/>
        <v>0</v>
      </c>
      <c r="U15" s="145">
        <f t="shared" si="5"/>
        <v>0</v>
      </c>
      <c r="V15" s="141">
        <f t="shared" si="6"/>
        <v>0</v>
      </c>
      <c r="W15" s="41">
        <f t="shared" si="7"/>
        <v>0</v>
      </c>
      <c r="X15" s="41">
        <f t="shared" si="11"/>
        <v>0</v>
      </c>
      <c r="Y15" s="40">
        <v>0.9</v>
      </c>
      <c r="Z15" s="40">
        <f t="shared" si="8"/>
        <v>0</v>
      </c>
      <c r="AA15" s="40">
        <f t="shared" si="9"/>
        <v>0</v>
      </c>
      <c r="AB15" s="40">
        <f t="shared" si="10"/>
        <v>0</v>
      </c>
      <c r="AC15" s="133" t="str">
        <f t="shared" si="12"/>
        <v/>
      </c>
    </row>
    <row r="16" spans="1:29" ht="14.5" x14ac:dyDescent="0.35">
      <c r="A16" s="117">
        <v>7088173</v>
      </c>
      <c r="B16" s="80" t="s">
        <v>26</v>
      </c>
      <c r="C16" s="50" t="s">
        <v>3</v>
      </c>
      <c r="D16" s="5" t="s">
        <v>4</v>
      </c>
      <c r="E16" s="51" t="s">
        <v>68</v>
      </c>
      <c r="F16" s="55" t="s">
        <v>69</v>
      </c>
      <c r="G16" s="65"/>
      <c r="H16" s="66"/>
      <c r="I16" s="57"/>
      <c r="J16" s="92"/>
      <c r="K16" s="36">
        <v>0.308</v>
      </c>
      <c r="L16" s="16">
        <v>1</v>
      </c>
      <c r="M16" s="17">
        <v>25</v>
      </c>
      <c r="N16" s="18">
        <f t="shared" si="0"/>
        <v>0</v>
      </c>
      <c r="O16" s="19">
        <f t="shared" si="1"/>
        <v>0</v>
      </c>
      <c r="P16" s="16">
        <v>25</v>
      </c>
      <c r="Q16" s="20">
        <v>625</v>
      </c>
      <c r="R16" s="21">
        <f t="shared" si="2"/>
        <v>0</v>
      </c>
      <c r="S16" s="19">
        <f t="shared" si="3"/>
        <v>0</v>
      </c>
      <c r="T16" s="78">
        <f t="shared" si="4"/>
        <v>0</v>
      </c>
      <c r="U16" s="145">
        <f t="shared" si="5"/>
        <v>0</v>
      </c>
      <c r="V16" s="141">
        <f t="shared" si="6"/>
        <v>0</v>
      </c>
      <c r="W16" s="41">
        <f t="shared" si="7"/>
        <v>0</v>
      </c>
      <c r="X16" s="41">
        <f t="shared" si="11"/>
        <v>0</v>
      </c>
      <c r="Y16" s="40">
        <v>0.9</v>
      </c>
      <c r="Z16" s="40">
        <f t="shared" si="8"/>
        <v>0</v>
      </c>
      <c r="AA16" s="40">
        <f t="shared" si="9"/>
        <v>0</v>
      </c>
      <c r="AB16" s="40">
        <f t="shared" si="10"/>
        <v>0</v>
      </c>
      <c r="AC16" s="133" t="str">
        <f t="shared" si="12"/>
        <v/>
      </c>
    </row>
    <row r="17" spans="1:29" ht="14.5" x14ac:dyDescent="0.35">
      <c r="A17" s="117">
        <v>7088174</v>
      </c>
      <c r="B17" s="80" t="s">
        <v>19</v>
      </c>
      <c r="C17" s="50" t="s">
        <v>3</v>
      </c>
      <c r="D17" s="5" t="s">
        <v>4</v>
      </c>
      <c r="E17" s="51" t="s">
        <v>68</v>
      </c>
      <c r="F17" s="55" t="s">
        <v>69</v>
      </c>
      <c r="G17" s="65"/>
      <c r="H17" s="66"/>
      <c r="I17" s="57"/>
      <c r="J17" s="92"/>
      <c r="K17" s="36">
        <v>0.39100000000000001</v>
      </c>
      <c r="L17" s="16">
        <v>1</v>
      </c>
      <c r="M17" s="17">
        <v>25</v>
      </c>
      <c r="N17" s="18">
        <f t="shared" si="0"/>
        <v>0</v>
      </c>
      <c r="O17" s="19">
        <f t="shared" si="1"/>
        <v>0</v>
      </c>
      <c r="P17" s="16">
        <v>20</v>
      </c>
      <c r="Q17" s="20">
        <v>500</v>
      </c>
      <c r="R17" s="21">
        <f t="shared" si="2"/>
        <v>0</v>
      </c>
      <c r="S17" s="19">
        <f t="shared" si="3"/>
        <v>0</v>
      </c>
      <c r="T17" s="78">
        <f t="shared" si="4"/>
        <v>0</v>
      </c>
      <c r="U17" s="145">
        <f t="shared" si="5"/>
        <v>0</v>
      </c>
      <c r="V17" s="141">
        <f t="shared" si="6"/>
        <v>0</v>
      </c>
      <c r="W17" s="41">
        <f t="shared" si="7"/>
        <v>0</v>
      </c>
      <c r="X17" s="41">
        <f t="shared" si="11"/>
        <v>0</v>
      </c>
      <c r="Y17" s="40">
        <v>0.9</v>
      </c>
      <c r="Z17" s="40">
        <f t="shared" si="8"/>
        <v>0</v>
      </c>
      <c r="AA17" s="40">
        <f t="shared" si="9"/>
        <v>0</v>
      </c>
      <c r="AB17" s="40">
        <f t="shared" si="10"/>
        <v>0</v>
      </c>
      <c r="AC17" s="133" t="str">
        <f t="shared" si="12"/>
        <v/>
      </c>
    </row>
    <row r="18" spans="1:29" ht="14.5" x14ac:dyDescent="0.35">
      <c r="A18" s="117">
        <v>7088175</v>
      </c>
      <c r="B18" s="80" t="s">
        <v>20</v>
      </c>
      <c r="C18" s="50" t="s">
        <v>3</v>
      </c>
      <c r="D18" s="5" t="s">
        <v>4</v>
      </c>
      <c r="E18" s="51" t="s">
        <v>68</v>
      </c>
      <c r="F18" s="55" t="s">
        <v>69</v>
      </c>
      <c r="G18" s="65"/>
      <c r="H18" s="66"/>
      <c r="I18" s="57"/>
      <c r="J18" s="92"/>
      <c r="K18" s="36">
        <v>0.41899999999999998</v>
      </c>
      <c r="L18" s="16">
        <v>1</v>
      </c>
      <c r="M18" s="17">
        <v>25</v>
      </c>
      <c r="N18" s="18">
        <f t="shared" si="0"/>
        <v>0</v>
      </c>
      <c r="O18" s="19">
        <f t="shared" si="1"/>
        <v>0</v>
      </c>
      <c r="P18" s="16">
        <v>15</v>
      </c>
      <c r="Q18" s="20">
        <v>375</v>
      </c>
      <c r="R18" s="21">
        <f t="shared" si="2"/>
        <v>0</v>
      </c>
      <c r="S18" s="19">
        <f t="shared" si="3"/>
        <v>0</v>
      </c>
      <c r="T18" s="78">
        <f t="shared" si="4"/>
        <v>0</v>
      </c>
      <c r="U18" s="145">
        <f t="shared" si="5"/>
        <v>0</v>
      </c>
      <c r="V18" s="141">
        <f t="shared" si="6"/>
        <v>0</v>
      </c>
      <c r="W18" s="41">
        <f t="shared" si="7"/>
        <v>0</v>
      </c>
      <c r="X18" s="41">
        <f t="shared" si="11"/>
        <v>0</v>
      </c>
      <c r="Y18" s="40">
        <v>0.9</v>
      </c>
      <c r="Z18" s="40">
        <f t="shared" si="8"/>
        <v>0</v>
      </c>
      <c r="AA18" s="40">
        <f t="shared" si="9"/>
        <v>0</v>
      </c>
      <c r="AB18" s="40">
        <f t="shared" si="10"/>
        <v>0</v>
      </c>
      <c r="AC18" s="133" t="str">
        <f t="shared" si="12"/>
        <v/>
      </c>
    </row>
    <row r="19" spans="1:29" ht="14.5" x14ac:dyDescent="0.35">
      <c r="A19" s="117">
        <v>7088176</v>
      </c>
      <c r="B19" s="80" t="s">
        <v>21</v>
      </c>
      <c r="C19" s="50" t="s">
        <v>3</v>
      </c>
      <c r="D19" s="5" t="s">
        <v>4</v>
      </c>
      <c r="E19" s="51" t="s">
        <v>68</v>
      </c>
      <c r="F19" s="55"/>
      <c r="G19" s="65" t="s">
        <v>69</v>
      </c>
      <c r="H19" s="66"/>
      <c r="I19" s="57"/>
      <c r="J19" s="92"/>
      <c r="K19" s="36">
        <v>0.47499999999999998</v>
      </c>
      <c r="L19" s="16">
        <v>1</v>
      </c>
      <c r="M19" s="17">
        <v>25</v>
      </c>
      <c r="N19" s="18">
        <f t="shared" si="0"/>
        <v>0</v>
      </c>
      <c r="O19" s="19">
        <f t="shared" si="1"/>
        <v>0</v>
      </c>
      <c r="P19" s="16">
        <v>12</v>
      </c>
      <c r="Q19" s="20">
        <v>300</v>
      </c>
      <c r="R19" s="21">
        <f t="shared" si="2"/>
        <v>0</v>
      </c>
      <c r="S19" s="19">
        <f t="shared" si="3"/>
        <v>0</v>
      </c>
      <c r="T19" s="78">
        <f t="shared" si="4"/>
        <v>0</v>
      </c>
      <c r="U19" s="145">
        <f t="shared" si="5"/>
        <v>0</v>
      </c>
      <c r="V19" s="141">
        <f t="shared" si="6"/>
        <v>0</v>
      </c>
      <c r="W19" s="41">
        <f t="shared" si="7"/>
        <v>0</v>
      </c>
      <c r="X19" s="41">
        <f t="shared" si="11"/>
        <v>0</v>
      </c>
      <c r="Y19" s="40">
        <v>1.02</v>
      </c>
      <c r="Z19" s="40">
        <f t="shared" si="8"/>
        <v>0</v>
      </c>
      <c r="AA19" s="40">
        <f t="shared" si="9"/>
        <v>0</v>
      </c>
      <c r="AB19" s="40">
        <f t="shared" si="10"/>
        <v>0</v>
      </c>
      <c r="AC19" s="133" t="str">
        <f t="shared" si="12"/>
        <v/>
      </c>
    </row>
    <row r="20" spans="1:29" ht="15" thickBot="1" x14ac:dyDescent="0.4">
      <c r="A20" s="118">
        <v>7088179</v>
      </c>
      <c r="B20" s="81" t="s">
        <v>22</v>
      </c>
      <c r="C20" s="52" t="s">
        <v>3</v>
      </c>
      <c r="D20" s="6" t="s">
        <v>4</v>
      </c>
      <c r="E20" s="53" t="s">
        <v>68</v>
      </c>
      <c r="F20" s="61"/>
      <c r="G20" s="84"/>
      <c r="H20" s="84" t="s">
        <v>69</v>
      </c>
      <c r="I20" s="62"/>
      <c r="J20" s="93"/>
      <c r="K20" s="37">
        <v>0.58699999999999997</v>
      </c>
      <c r="L20" s="27">
        <v>1</v>
      </c>
      <c r="M20" s="26">
        <v>25</v>
      </c>
      <c r="N20" s="22">
        <f t="shared" si="0"/>
        <v>0</v>
      </c>
      <c r="O20" s="23">
        <f t="shared" si="1"/>
        <v>0</v>
      </c>
      <c r="P20" s="27">
        <v>10</v>
      </c>
      <c r="Q20" s="24">
        <v>250</v>
      </c>
      <c r="R20" s="25">
        <f t="shared" si="2"/>
        <v>0</v>
      </c>
      <c r="S20" s="23">
        <f t="shared" si="3"/>
        <v>0</v>
      </c>
      <c r="T20" s="79">
        <f t="shared" si="4"/>
        <v>0</v>
      </c>
      <c r="U20" s="146">
        <f t="shared" si="5"/>
        <v>0</v>
      </c>
      <c r="V20" s="142">
        <f t="shared" si="6"/>
        <v>0</v>
      </c>
      <c r="W20" s="46">
        <f t="shared" si="7"/>
        <v>0</v>
      </c>
      <c r="X20" s="46">
        <f t="shared" si="11"/>
        <v>0</v>
      </c>
      <c r="Y20" s="47">
        <v>1.4</v>
      </c>
      <c r="Z20" s="47">
        <f t="shared" si="8"/>
        <v>0</v>
      </c>
      <c r="AA20" s="47">
        <f t="shared" si="9"/>
        <v>0</v>
      </c>
      <c r="AB20" s="47">
        <f t="shared" si="10"/>
        <v>0</v>
      </c>
      <c r="AC20" s="133" t="str">
        <f t="shared" si="12"/>
        <v/>
      </c>
    </row>
    <row r="21" spans="1:29" x14ac:dyDescent="0.3">
      <c r="A21" s="116">
        <v>7088180</v>
      </c>
      <c r="B21" s="85" t="s">
        <v>27</v>
      </c>
      <c r="C21" s="48" t="s">
        <v>0</v>
      </c>
      <c r="D21" s="4" t="s">
        <v>1</v>
      </c>
      <c r="E21" s="49" t="s">
        <v>67</v>
      </c>
      <c r="F21" s="59"/>
      <c r="G21" s="71"/>
      <c r="H21" s="71"/>
      <c r="I21" s="60"/>
      <c r="J21" s="91"/>
      <c r="K21" s="35">
        <v>0.14000000000000001</v>
      </c>
      <c r="L21" s="10">
        <v>40</v>
      </c>
      <c r="M21" s="11">
        <v>200</v>
      </c>
      <c r="N21" s="12">
        <f t="shared" si="0"/>
        <v>0</v>
      </c>
      <c r="O21" s="13">
        <f t="shared" si="1"/>
        <v>0</v>
      </c>
      <c r="P21" s="10">
        <v>6</v>
      </c>
      <c r="Q21" s="14">
        <v>1200</v>
      </c>
      <c r="R21" s="15">
        <f t="shared" si="2"/>
        <v>0</v>
      </c>
      <c r="S21" s="13">
        <f t="shared" si="3"/>
        <v>0</v>
      </c>
      <c r="T21" s="83">
        <f t="shared" si="4"/>
        <v>0</v>
      </c>
      <c r="U21" s="144">
        <f t="shared" si="5"/>
        <v>0</v>
      </c>
      <c r="V21" s="140">
        <f t="shared" si="6"/>
        <v>0</v>
      </c>
      <c r="W21" s="44">
        <f t="shared" si="7"/>
        <v>0</v>
      </c>
      <c r="X21" s="44">
        <f t="shared" si="11"/>
        <v>0</v>
      </c>
      <c r="Y21" s="45">
        <v>1.02</v>
      </c>
      <c r="Z21" s="45">
        <f t="shared" si="8"/>
        <v>0</v>
      </c>
      <c r="AA21" s="45">
        <f t="shared" si="9"/>
        <v>0</v>
      </c>
      <c r="AB21" s="45">
        <f t="shared" si="10"/>
        <v>0</v>
      </c>
      <c r="AC21" s="133" t="str">
        <f t="shared" si="12"/>
        <v/>
      </c>
    </row>
    <row r="22" spans="1:29" x14ac:dyDescent="0.3">
      <c r="A22" s="117">
        <v>7088181</v>
      </c>
      <c r="B22" s="80" t="s">
        <v>28</v>
      </c>
      <c r="C22" s="50" t="s">
        <v>0</v>
      </c>
      <c r="D22" s="5" t="s">
        <v>1</v>
      </c>
      <c r="E22" s="51" t="s">
        <v>67</v>
      </c>
      <c r="F22" s="56"/>
      <c r="G22" s="66"/>
      <c r="H22" s="66"/>
      <c r="I22" s="57"/>
      <c r="J22" s="92"/>
      <c r="K22" s="36">
        <v>0.19600000000000001</v>
      </c>
      <c r="L22" s="16">
        <v>40</v>
      </c>
      <c r="M22" s="17">
        <v>200</v>
      </c>
      <c r="N22" s="18">
        <f t="shared" si="0"/>
        <v>0</v>
      </c>
      <c r="O22" s="19">
        <f t="shared" si="1"/>
        <v>0</v>
      </c>
      <c r="P22" s="16">
        <v>6</v>
      </c>
      <c r="Q22" s="20">
        <v>1200</v>
      </c>
      <c r="R22" s="21">
        <f t="shared" si="2"/>
        <v>0</v>
      </c>
      <c r="S22" s="19">
        <f t="shared" si="3"/>
        <v>0</v>
      </c>
      <c r="T22" s="78">
        <f t="shared" si="4"/>
        <v>0</v>
      </c>
      <c r="U22" s="145">
        <f t="shared" si="5"/>
        <v>0</v>
      </c>
      <c r="V22" s="141">
        <f t="shared" si="6"/>
        <v>0</v>
      </c>
      <c r="W22" s="41">
        <f t="shared" si="7"/>
        <v>0</v>
      </c>
      <c r="X22" s="41">
        <f t="shared" si="11"/>
        <v>0</v>
      </c>
      <c r="Y22" s="40">
        <v>1.02</v>
      </c>
      <c r="Z22" s="40">
        <f t="shared" si="8"/>
        <v>0</v>
      </c>
      <c r="AA22" s="40">
        <f t="shared" si="9"/>
        <v>0</v>
      </c>
      <c r="AB22" s="40">
        <f t="shared" si="10"/>
        <v>0</v>
      </c>
      <c r="AC22" s="133" t="str">
        <f t="shared" si="12"/>
        <v/>
      </c>
    </row>
    <row r="23" spans="1:29" x14ac:dyDescent="0.3">
      <c r="A23" s="117">
        <v>7088182</v>
      </c>
      <c r="B23" s="80" t="s">
        <v>29</v>
      </c>
      <c r="C23" s="50" t="s">
        <v>0</v>
      </c>
      <c r="D23" s="5" t="s">
        <v>1</v>
      </c>
      <c r="E23" s="51" t="s">
        <v>67</v>
      </c>
      <c r="F23" s="56"/>
      <c r="G23" s="66"/>
      <c r="H23" s="66"/>
      <c r="I23" s="57"/>
      <c r="J23" s="92"/>
      <c r="K23" s="36">
        <v>0.252</v>
      </c>
      <c r="L23" s="16">
        <v>24</v>
      </c>
      <c r="M23" s="17">
        <v>120</v>
      </c>
      <c r="N23" s="18">
        <f t="shared" si="0"/>
        <v>0</v>
      </c>
      <c r="O23" s="19">
        <f t="shared" si="1"/>
        <v>0</v>
      </c>
      <c r="P23" s="16">
        <v>9</v>
      </c>
      <c r="Q23" s="20">
        <v>1080</v>
      </c>
      <c r="R23" s="21">
        <f t="shared" si="2"/>
        <v>0</v>
      </c>
      <c r="S23" s="19">
        <f t="shared" si="3"/>
        <v>0</v>
      </c>
      <c r="T23" s="78">
        <f t="shared" si="4"/>
        <v>0</v>
      </c>
      <c r="U23" s="145">
        <f t="shared" si="5"/>
        <v>0</v>
      </c>
      <c r="V23" s="141">
        <f t="shared" si="6"/>
        <v>0</v>
      </c>
      <c r="W23" s="41">
        <f t="shared" si="7"/>
        <v>0</v>
      </c>
      <c r="X23" s="41">
        <f t="shared" si="11"/>
        <v>0</v>
      </c>
      <c r="Y23" s="40">
        <v>1.02</v>
      </c>
      <c r="Z23" s="40">
        <f t="shared" si="8"/>
        <v>0</v>
      </c>
      <c r="AA23" s="40">
        <f t="shared" si="9"/>
        <v>0</v>
      </c>
      <c r="AB23" s="40">
        <f t="shared" si="10"/>
        <v>0</v>
      </c>
      <c r="AC23" s="133" t="str">
        <f t="shared" si="12"/>
        <v/>
      </c>
    </row>
    <row r="24" spans="1:29" x14ac:dyDescent="0.3">
      <c r="A24" s="117">
        <v>7088183</v>
      </c>
      <c r="B24" s="80" t="s">
        <v>30</v>
      </c>
      <c r="C24" s="50" t="s">
        <v>0</v>
      </c>
      <c r="D24" s="5" t="s">
        <v>1</v>
      </c>
      <c r="E24" s="51" t="s">
        <v>67</v>
      </c>
      <c r="F24" s="56"/>
      <c r="G24" s="66"/>
      <c r="H24" s="66"/>
      <c r="I24" s="57"/>
      <c r="J24" s="92"/>
      <c r="K24" s="36">
        <v>0.308</v>
      </c>
      <c r="L24" s="16">
        <v>10</v>
      </c>
      <c r="M24" s="17">
        <v>50</v>
      </c>
      <c r="N24" s="18">
        <f t="shared" si="0"/>
        <v>0</v>
      </c>
      <c r="O24" s="19">
        <f t="shared" si="1"/>
        <v>0</v>
      </c>
      <c r="P24" s="16">
        <v>20</v>
      </c>
      <c r="Q24" s="20">
        <v>1000</v>
      </c>
      <c r="R24" s="21">
        <f t="shared" si="2"/>
        <v>0</v>
      </c>
      <c r="S24" s="19">
        <f t="shared" si="3"/>
        <v>0</v>
      </c>
      <c r="T24" s="78">
        <f t="shared" si="4"/>
        <v>0</v>
      </c>
      <c r="U24" s="145">
        <f t="shared" si="5"/>
        <v>0</v>
      </c>
      <c r="V24" s="141">
        <f t="shared" si="6"/>
        <v>0</v>
      </c>
      <c r="W24" s="41">
        <f t="shared" si="7"/>
        <v>0</v>
      </c>
      <c r="X24" s="41">
        <f t="shared" si="11"/>
        <v>0</v>
      </c>
      <c r="Y24" s="40">
        <v>1.02</v>
      </c>
      <c r="Z24" s="40">
        <f t="shared" si="8"/>
        <v>0</v>
      </c>
      <c r="AA24" s="40">
        <f t="shared" si="9"/>
        <v>0</v>
      </c>
      <c r="AB24" s="40">
        <f t="shared" si="10"/>
        <v>0</v>
      </c>
      <c r="AC24" s="133" t="str">
        <f t="shared" si="12"/>
        <v/>
      </c>
    </row>
    <row r="25" spans="1:29" x14ac:dyDescent="0.3">
      <c r="A25" s="117">
        <v>7088184</v>
      </c>
      <c r="B25" s="80" t="s">
        <v>31</v>
      </c>
      <c r="C25" s="50" t="s">
        <v>0</v>
      </c>
      <c r="D25" s="5" t="s">
        <v>1</v>
      </c>
      <c r="E25" s="51" t="s">
        <v>67</v>
      </c>
      <c r="F25" s="56"/>
      <c r="G25" s="66"/>
      <c r="H25" s="66"/>
      <c r="I25" s="57"/>
      <c r="J25" s="92"/>
      <c r="K25" s="36">
        <v>0.39100000000000001</v>
      </c>
      <c r="L25" s="16">
        <v>10</v>
      </c>
      <c r="M25" s="17">
        <v>50</v>
      </c>
      <c r="N25" s="18">
        <f t="shared" si="0"/>
        <v>0</v>
      </c>
      <c r="O25" s="19">
        <f t="shared" si="1"/>
        <v>0</v>
      </c>
      <c r="P25" s="16">
        <v>12</v>
      </c>
      <c r="Q25" s="20">
        <v>600</v>
      </c>
      <c r="R25" s="21">
        <f t="shared" si="2"/>
        <v>0</v>
      </c>
      <c r="S25" s="19">
        <f t="shared" si="3"/>
        <v>0</v>
      </c>
      <c r="T25" s="78">
        <f t="shared" si="4"/>
        <v>0</v>
      </c>
      <c r="U25" s="145">
        <f t="shared" si="5"/>
        <v>0</v>
      </c>
      <c r="V25" s="141">
        <f t="shared" si="6"/>
        <v>0</v>
      </c>
      <c r="W25" s="41">
        <f t="shared" si="7"/>
        <v>0</v>
      </c>
      <c r="X25" s="41">
        <f t="shared" si="11"/>
        <v>0</v>
      </c>
      <c r="Y25" s="40">
        <v>1.02</v>
      </c>
      <c r="Z25" s="40">
        <f t="shared" si="8"/>
        <v>0</v>
      </c>
      <c r="AA25" s="40">
        <f t="shared" si="9"/>
        <v>0</v>
      </c>
      <c r="AB25" s="40">
        <f t="shared" si="10"/>
        <v>0</v>
      </c>
      <c r="AC25" s="133" t="str">
        <f t="shared" si="12"/>
        <v/>
      </c>
    </row>
    <row r="26" spans="1:29" x14ac:dyDescent="0.3">
      <c r="A26" s="117">
        <v>7088185</v>
      </c>
      <c r="B26" s="80" t="s">
        <v>32</v>
      </c>
      <c r="C26" s="50" t="s">
        <v>0</v>
      </c>
      <c r="D26" s="5" t="s">
        <v>1</v>
      </c>
      <c r="E26" s="51" t="s">
        <v>67</v>
      </c>
      <c r="F26" s="56"/>
      <c r="G26" s="66"/>
      <c r="H26" s="66"/>
      <c r="I26" s="57"/>
      <c r="J26" s="92"/>
      <c r="K26" s="36">
        <v>0.41899999999999998</v>
      </c>
      <c r="L26" s="16">
        <v>10</v>
      </c>
      <c r="M26" s="17">
        <v>50</v>
      </c>
      <c r="N26" s="18">
        <f t="shared" si="0"/>
        <v>0</v>
      </c>
      <c r="O26" s="19">
        <f t="shared" si="1"/>
        <v>0</v>
      </c>
      <c r="P26" s="16">
        <v>12</v>
      </c>
      <c r="Q26" s="20">
        <v>600</v>
      </c>
      <c r="R26" s="21">
        <f t="shared" si="2"/>
        <v>0</v>
      </c>
      <c r="S26" s="19">
        <f t="shared" si="3"/>
        <v>0</v>
      </c>
      <c r="T26" s="78">
        <f t="shared" si="4"/>
        <v>0</v>
      </c>
      <c r="U26" s="145">
        <f t="shared" si="5"/>
        <v>0</v>
      </c>
      <c r="V26" s="141">
        <f t="shared" si="6"/>
        <v>0</v>
      </c>
      <c r="W26" s="41">
        <f t="shared" si="7"/>
        <v>0</v>
      </c>
      <c r="X26" s="41">
        <f t="shared" si="11"/>
        <v>0</v>
      </c>
      <c r="Y26" s="40">
        <v>1.02</v>
      </c>
      <c r="Z26" s="40">
        <f t="shared" si="8"/>
        <v>0</v>
      </c>
      <c r="AA26" s="40">
        <f t="shared" si="9"/>
        <v>0</v>
      </c>
      <c r="AB26" s="40">
        <f t="shared" si="10"/>
        <v>0</v>
      </c>
      <c r="AC26" s="133" t="str">
        <f t="shared" si="12"/>
        <v/>
      </c>
    </row>
    <row r="27" spans="1:29" x14ac:dyDescent="0.3">
      <c r="A27" s="117">
        <v>7088186</v>
      </c>
      <c r="B27" s="80" t="s">
        <v>33</v>
      </c>
      <c r="C27" s="50" t="s">
        <v>0</v>
      </c>
      <c r="D27" s="5" t="s">
        <v>1</v>
      </c>
      <c r="E27" s="51" t="s">
        <v>67</v>
      </c>
      <c r="F27" s="56"/>
      <c r="G27" s="66"/>
      <c r="H27" s="66"/>
      <c r="I27" s="57"/>
      <c r="J27" s="92"/>
      <c r="K27" s="36">
        <v>0.47499999999999998</v>
      </c>
      <c r="L27" s="16">
        <v>10</v>
      </c>
      <c r="M27" s="17">
        <v>50</v>
      </c>
      <c r="N27" s="18">
        <f t="shared" si="0"/>
        <v>0</v>
      </c>
      <c r="O27" s="19">
        <f t="shared" si="1"/>
        <v>0</v>
      </c>
      <c r="P27" s="16">
        <v>12</v>
      </c>
      <c r="Q27" s="20">
        <v>600</v>
      </c>
      <c r="R27" s="21">
        <f t="shared" si="2"/>
        <v>0</v>
      </c>
      <c r="S27" s="19">
        <f t="shared" si="3"/>
        <v>0</v>
      </c>
      <c r="T27" s="78">
        <f t="shared" si="4"/>
        <v>0</v>
      </c>
      <c r="U27" s="145">
        <f t="shared" si="5"/>
        <v>0</v>
      </c>
      <c r="V27" s="141">
        <f t="shared" si="6"/>
        <v>0</v>
      </c>
      <c r="W27" s="41">
        <f t="shared" si="7"/>
        <v>0</v>
      </c>
      <c r="X27" s="41">
        <f t="shared" si="11"/>
        <v>0</v>
      </c>
      <c r="Y27" s="40">
        <v>1.02</v>
      </c>
      <c r="Z27" s="40">
        <f t="shared" si="8"/>
        <v>0</v>
      </c>
      <c r="AA27" s="40">
        <f t="shared" si="9"/>
        <v>0</v>
      </c>
      <c r="AB27" s="40">
        <f t="shared" si="10"/>
        <v>0</v>
      </c>
      <c r="AC27" s="133" t="str">
        <f t="shared" si="12"/>
        <v/>
      </c>
    </row>
    <row r="28" spans="1:29" x14ac:dyDescent="0.3">
      <c r="A28" s="117">
        <v>7150639</v>
      </c>
      <c r="B28" s="80" t="s">
        <v>34</v>
      </c>
      <c r="C28" s="50" t="s">
        <v>0</v>
      </c>
      <c r="D28" s="5" t="s">
        <v>1</v>
      </c>
      <c r="E28" s="51" t="s">
        <v>67</v>
      </c>
      <c r="F28" s="56"/>
      <c r="G28" s="66"/>
      <c r="H28" s="66"/>
      <c r="I28" s="57"/>
      <c r="J28" s="92"/>
      <c r="K28" s="36">
        <v>0.58699999999999997</v>
      </c>
      <c r="L28" s="16">
        <v>10</v>
      </c>
      <c r="M28" s="17">
        <v>50</v>
      </c>
      <c r="N28" s="18">
        <f t="shared" si="0"/>
        <v>0</v>
      </c>
      <c r="O28" s="19">
        <f t="shared" si="1"/>
        <v>0</v>
      </c>
      <c r="P28" s="16">
        <v>12</v>
      </c>
      <c r="Q28" s="20">
        <v>600</v>
      </c>
      <c r="R28" s="21">
        <f t="shared" si="2"/>
        <v>0</v>
      </c>
      <c r="S28" s="19">
        <f t="shared" si="3"/>
        <v>0</v>
      </c>
      <c r="T28" s="78">
        <f t="shared" si="4"/>
        <v>0</v>
      </c>
      <c r="U28" s="145">
        <f t="shared" si="5"/>
        <v>0</v>
      </c>
      <c r="V28" s="141">
        <f t="shared" si="6"/>
        <v>0</v>
      </c>
      <c r="W28" s="41">
        <f t="shared" si="7"/>
        <v>0</v>
      </c>
      <c r="X28" s="41">
        <f t="shared" si="11"/>
        <v>0</v>
      </c>
      <c r="Y28" s="40">
        <v>1.02</v>
      </c>
      <c r="Z28" s="40">
        <f t="shared" si="8"/>
        <v>0</v>
      </c>
      <c r="AA28" s="40">
        <f t="shared" si="9"/>
        <v>0</v>
      </c>
      <c r="AB28" s="40">
        <f t="shared" si="10"/>
        <v>0</v>
      </c>
      <c r="AC28" s="133" t="str">
        <f t="shared" si="12"/>
        <v/>
      </c>
    </row>
    <row r="29" spans="1:29" x14ac:dyDescent="0.3">
      <c r="A29" s="117">
        <v>7146289</v>
      </c>
      <c r="B29" s="80" t="s">
        <v>35</v>
      </c>
      <c r="C29" s="50" t="s">
        <v>0</v>
      </c>
      <c r="D29" s="5" t="s">
        <v>1</v>
      </c>
      <c r="E29" s="51" t="s">
        <v>67</v>
      </c>
      <c r="F29" s="56"/>
      <c r="G29" s="66"/>
      <c r="H29" s="66"/>
      <c r="I29" s="57"/>
      <c r="J29" s="92"/>
      <c r="K29" s="36">
        <v>0.85899999999999999</v>
      </c>
      <c r="L29" s="16">
        <v>10</v>
      </c>
      <c r="M29" s="17">
        <v>50</v>
      </c>
      <c r="N29" s="18">
        <f t="shared" si="0"/>
        <v>0</v>
      </c>
      <c r="O29" s="19">
        <f t="shared" si="1"/>
        <v>0</v>
      </c>
      <c r="P29" s="16">
        <v>12</v>
      </c>
      <c r="Q29" s="20">
        <v>600</v>
      </c>
      <c r="R29" s="21">
        <f t="shared" si="2"/>
        <v>0</v>
      </c>
      <c r="S29" s="19">
        <f t="shared" si="3"/>
        <v>0</v>
      </c>
      <c r="T29" s="78">
        <f t="shared" si="4"/>
        <v>0</v>
      </c>
      <c r="U29" s="145">
        <f t="shared" si="5"/>
        <v>0</v>
      </c>
      <c r="V29" s="141">
        <f t="shared" si="6"/>
        <v>0</v>
      </c>
      <c r="W29" s="41">
        <f t="shared" si="7"/>
        <v>0</v>
      </c>
      <c r="X29" s="41">
        <f t="shared" si="11"/>
        <v>0</v>
      </c>
      <c r="Y29" s="40">
        <v>1.02</v>
      </c>
      <c r="Z29" s="40">
        <f t="shared" si="8"/>
        <v>0</v>
      </c>
      <c r="AA29" s="40">
        <f t="shared" si="9"/>
        <v>0</v>
      </c>
      <c r="AB29" s="40">
        <f t="shared" si="10"/>
        <v>0</v>
      </c>
      <c r="AC29" s="133" t="str">
        <f t="shared" si="12"/>
        <v/>
      </c>
    </row>
    <row r="30" spans="1:29" x14ac:dyDescent="0.3">
      <c r="A30" s="117">
        <v>7088188</v>
      </c>
      <c r="B30" s="80" t="s">
        <v>36</v>
      </c>
      <c r="C30" s="50" t="s">
        <v>0</v>
      </c>
      <c r="D30" s="5" t="s">
        <v>1</v>
      </c>
      <c r="E30" s="51" t="s">
        <v>67</v>
      </c>
      <c r="F30" s="56"/>
      <c r="G30" s="66"/>
      <c r="H30" s="66"/>
      <c r="I30" s="57"/>
      <c r="J30" s="92"/>
      <c r="K30" s="36">
        <v>0.755</v>
      </c>
      <c r="L30" s="16">
        <v>10</v>
      </c>
      <c r="M30" s="17">
        <v>50</v>
      </c>
      <c r="N30" s="18">
        <f t="shared" si="0"/>
        <v>0</v>
      </c>
      <c r="O30" s="19">
        <f t="shared" si="1"/>
        <v>0</v>
      </c>
      <c r="P30" s="16">
        <v>9</v>
      </c>
      <c r="Q30" s="20">
        <v>450</v>
      </c>
      <c r="R30" s="21">
        <f t="shared" si="2"/>
        <v>0</v>
      </c>
      <c r="S30" s="19">
        <f t="shared" si="3"/>
        <v>0</v>
      </c>
      <c r="T30" s="78">
        <f t="shared" si="4"/>
        <v>0</v>
      </c>
      <c r="U30" s="145">
        <f t="shared" si="5"/>
        <v>0</v>
      </c>
      <c r="V30" s="141">
        <f t="shared" si="6"/>
        <v>0</v>
      </c>
      <c r="W30" s="41">
        <f t="shared" si="7"/>
        <v>0</v>
      </c>
      <c r="X30" s="41">
        <f t="shared" si="11"/>
        <v>0</v>
      </c>
      <c r="Y30" s="40">
        <v>1.02</v>
      </c>
      <c r="Z30" s="40">
        <f t="shared" si="8"/>
        <v>0</v>
      </c>
      <c r="AA30" s="40">
        <f t="shared" si="9"/>
        <v>0</v>
      </c>
      <c r="AB30" s="40">
        <f t="shared" si="10"/>
        <v>0</v>
      </c>
      <c r="AC30" s="133" t="str">
        <f t="shared" si="12"/>
        <v/>
      </c>
    </row>
    <row r="31" spans="1:29" x14ac:dyDescent="0.3">
      <c r="A31" s="117">
        <v>7088189</v>
      </c>
      <c r="B31" s="80" t="s">
        <v>37</v>
      </c>
      <c r="C31" s="50" t="s">
        <v>0</v>
      </c>
      <c r="D31" s="5" t="s">
        <v>1</v>
      </c>
      <c r="E31" s="51" t="s">
        <v>67</v>
      </c>
      <c r="F31" s="56"/>
      <c r="G31" s="66"/>
      <c r="H31" s="66"/>
      <c r="I31" s="57"/>
      <c r="J31" s="92"/>
      <c r="K31" s="36">
        <v>1.111</v>
      </c>
      <c r="L31" s="16">
        <v>10</v>
      </c>
      <c r="M31" s="17">
        <v>50</v>
      </c>
      <c r="N31" s="18">
        <f t="shared" si="0"/>
        <v>0</v>
      </c>
      <c r="O31" s="19">
        <f t="shared" si="1"/>
        <v>0</v>
      </c>
      <c r="P31" s="16">
        <v>9</v>
      </c>
      <c r="Q31" s="20">
        <v>450</v>
      </c>
      <c r="R31" s="21">
        <f t="shared" si="2"/>
        <v>0</v>
      </c>
      <c r="S31" s="19">
        <f t="shared" si="3"/>
        <v>0</v>
      </c>
      <c r="T31" s="78">
        <f t="shared" si="4"/>
        <v>0</v>
      </c>
      <c r="U31" s="145">
        <f t="shared" si="5"/>
        <v>0</v>
      </c>
      <c r="V31" s="141">
        <f t="shared" si="6"/>
        <v>0</v>
      </c>
      <c r="W31" s="41">
        <f t="shared" si="7"/>
        <v>0</v>
      </c>
      <c r="X31" s="41">
        <f t="shared" si="11"/>
        <v>0</v>
      </c>
      <c r="Y31" s="40">
        <v>1.02</v>
      </c>
      <c r="Z31" s="40">
        <f t="shared" si="8"/>
        <v>0</v>
      </c>
      <c r="AA31" s="40">
        <f t="shared" si="9"/>
        <v>0</v>
      </c>
      <c r="AB31" s="40">
        <f t="shared" si="10"/>
        <v>0</v>
      </c>
      <c r="AC31" s="133" t="str">
        <f t="shared" si="12"/>
        <v/>
      </c>
    </row>
    <row r="32" spans="1:29" x14ac:dyDescent="0.3">
      <c r="A32" s="117">
        <v>7088190</v>
      </c>
      <c r="B32" s="80" t="s">
        <v>38</v>
      </c>
      <c r="C32" s="50" t="s">
        <v>0</v>
      </c>
      <c r="D32" s="5" t="s">
        <v>1</v>
      </c>
      <c r="E32" s="51" t="s">
        <v>67</v>
      </c>
      <c r="F32" s="56"/>
      <c r="G32" s="66"/>
      <c r="H32" s="66"/>
      <c r="I32" s="57"/>
      <c r="J32" s="92"/>
      <c r="K32" s="36">
        <v>1.4039999999999999</v>
      </c>
      <c r="L32" s="16">
        <v>5</v>
      </c>
      <c r="M32" s="17">
        <v>25</v>
      </c>
      <c r="N32" s="18">
        <f t="shared" si="0"/>
        <v>0</v>
      </c>
      <c r="O32" s="19">
        <f t="shared" si="1"/>
        <v>0</v>
      </c>
      <c r="P32" s="16">
        <v>9</v>
      </c>
      <c r="Q32" s="20">
        <v>225</v>
      </c>
      <c r="R32" s="21">
        <f t="shared" si="2"/>
        <v>0</v>
      </c>
      <c r="S32" s="19">
        <f t="shared" si="3"/>
        <v>0</v>
      </c>
      <c r="T32" s="78">
        <f t="shared" si="4"/>
        <v>0</v>
      </c>
      <c r="U32" s="145">
        <f t="shared" si="5"/>
        <v>0</v>
      </c>
      <c r="V32" s="141">
        <f t="shared" si="6"/>
        <v>0</v>
      </c>
      <c r="W32" s="41">
        <f t="shared" si="7"/>
        <v>0</v>
      </c>
      <c r="X32" s="41">
        <f t="shared" si="11"/>
        <v>0</v>
      </c>
      <c r="Y32" s="40">
        <v>1.02</v>
      </c>
      <c r="Z32" s="40">
        <f t="shared" si="8"/>
        <v>0</v>
      </c>
      <c r="AA32" s="40">
        <f t="shared" si="9"/>
        <v>0</v>
      </c>
      <c r="AB32" s="40">
        <f t="shared" si="10"/>
        <v>0</v>
      </c>
      <c r="AC32" s="133" t="str">
        <f t="shared" si="12"/>
        <v/>
      </c>
    </row>
    <row r="33" spans="1:29" x14ac:dyDescent="0.3">
      <c r="A33" s="117">
        <v>7146290</v>
      </c>
      <c r="B33" s="80" t="s">
        <v>39</v>
      </c>
      <c r="C33" s="50" t="s">
        <v>0</v>
      </c>
      <c r="D33" s="5" t="s">
        <v>1</v>
      </c>
      <c r="E33" s="51" t="s">
        <v>67</v>
      </c>
      <c r="F33" s="56"/>
      <c r="G33" s="66"/>
      <c r="H33" s="66"/>
      <c r="I33" s="57"/>
      <c r="J33" s="92"/>
      <c r="K33" s="36">
        <v>0.95</v>
      </c>
      <c r="L33" s="16">
        <v>5</v>
      </c>
      <c r="M33" s="17">
        <v>25</v>
      </c>
      <c r="N33" s="18">
        <f t="shared" si="0"/>
        <v>0</v>
      </c>
      <c r="O33" s="19">
        <f t="shared" si="1"/>
        <v>0</v>
      </c>
      <c r="P33" s="16">
        <v>9</v>
      </c>
      <c r="Q33" s="20">
        <v>225</v>
      </c>
      <c r="R33" s="21">
        <f t="shared" si="2"/>
        <v>0</v>
      </c>
      <c r="S33" s="19">
        <f t="shared" si="3"/>
        <v>0</v>
      </c>
      <c r="T33" s="78">
        <f t="shared" si="4"/>
        <v>0</v>
      </c>
      <c r="U33" s="145">
        <f t="shared" si="5"/>
        <v>0</v>
      </c>
      <c r="V33" s="141">
        <f t="shared" si="6"/>
        <v>0</v>
      </c>
      <c r="W33" s="41">
        <f t="shared" si="7"/>
        <v>0</v>
      </c>
      <c r="X33" s="41">
        <f t="shared" si="11"/>
        <v>0</v>
      </c>
      <c r="Y33" s="40">
        <v>1.02</v>
      </c>
      <c r="Z33" s="40">
        <f t="shared" si="8"/>
        <v>0</v>
      </c>
      <c r="AA33" s="40">
        <f t="shared" si="9"/>
        <v>0</v>
      </c>
      <c r="AB33" s="40">
        <f t="shared" si="10"/>
        <v>0</v>
      </c>
      <c r="AC33" s="133" t="str">
        <f t="shared" si="12"/>
        <v/>
      </c>
    </row>
    <row r="34" spans="1:29" x14ac:dyDescent="0.3">
      <c r="A34" s="117">
        <v>7088191</v>
      </c>
      <c r="B34" s="80" t="s">
        <v>40</v>
      </c>
      <c r="C34" s="50" t="s">
        <v>0</v>
      </c>
      <c r="D34" s="5" t="s">
        <v>1</v>
      </c>
      <c r="E34" s="51" t="s">
        <v>67</v>
      </c>
      <c r="F34" s="56"/>
      <c r="G34" s="66"/>
      <c r="H34" s="66"/>
      <c r="I34" s="57"/>
      <c r="J34" s="92"/>
      <c r="K34" s="36">
        <v>1.698</v>
      </c>
      <c r="L34" s="16">
        <v>5</v>
      </c>
      <c r="M34" s="17">
        <v>25</v>
      </c>
      <c r="N34" s="18">
        <f t="shared" si="0"/>
        <v>0</v>
      </c>
      <c r="O34" s="19">
        <f t="shared" si="1"/>
        <v>0</v>
      </c>
      <c r="P34" s="16">
        <v>9</v>
      </c>
      <c r="Q34" s="20">
        <v>225</v>
      </c>
      <c r="R34" s="21">
        <f t="shared" si="2"/>
        <v>0</v>
      </c>
      <c r="S34" s="19">
        <f t="shared" si="3"/>
        <v>0</v>
      </c>
      <c r="T34" s="78">
        <f t="shared" si="4"/>
        <v>0</v>
      </c>
      <c r="U34" s="145">
        <f t="shared" si="5"/>
        <v>0</v>
      </c>
      <c r="V34" s="141">
        <f t="shared" si="6"/>
        <v>0</v>
      </c>
      <c r="W34" s="41">
        <f t="shared" si="7"/>
        <v>0</v>
      </c>
      <c r="X34" s="41">
        <f t="shared" si="11"/>
        <v>0</v>
      </c>
      <c r="Y34" s="40">
        <v>1.02</v>
      </c>
      <c r="Z34" s="40">
        <f t="shared" si="8"/>
        <v>0</v>
      </c>
      <c r="AA34" s="40">
        <f t="shared" si="9"/>
        <v>0</v>
      </c>
      <c r="AB34" s="40">
        <f t="shared" si="10"/>
        <v>0</v>
      </c>
      <c r="AC34" s="133" t="str">
        <f t="shared" si="12"/>
        <v/>
      </c>
    </row>
    <row r="35" spans="1:29" ht="14.5" thickBot="1" x14ac:dyDescent="0.35">
      <c r="A35" s="118">
        <v>7146291</v>
      </c>
      <c r="B35" s="81" t="s">
        <v>41</v>
      </c>
      <c r="C35" s="52" t="s">
        <v>0</v>
      </c>
      <c r="D35" s="6" t="s">
        <v>1</v>
      </c>
      <c r="E35" s="53" t="s">
        <v>67</v>
      </c>
      <c r="F35" s="64"/>
      <c r="G35" s="72"/>
      <c r="H35" s="72"/>
      <c r="I35" s="62"/>
      <c r="J35" s="93"/>
      <c r="K35" s="37">
        <v>1.1459999999999999</v>
      </c>
      <c r="L35" s="27">
        <v>5</v>
      </c>
      <c r="M35" s="26">
        <v>25</v>
      </c>
      <c r="N35" s="22">
        <f t="shared" si="0"/>
        <v>0</v>
      </c>
      <c r="O35" s="23">
        <f t="shared" si="1"/>
        <v>0</v>
      </c>
      <c r="P35" s="27">
        <v>9</v>
      </c>
      <c r="Q35" s="24">
        <v>225</v>
      </c>
      <c r="R35" s="25">
        <f t="shared" si="2"/>
        <v>0</v>
      </c>
      <c r="S35" s="23">
        <f t="shared" si="3"/>
        <v>0</v>
      </c>
      <c r="T35" s="79">
        <f t="shared" si="4"/>
        <v>0</v>
      </c>
      <c r="U35" s="146">
        <f t="shared" si="5"/>
        <v>0</v>
      </c>
      <c r="V35" s="142">
        <f t="shared" si="6"/>
        <v>0</v>
      </c>
      <c r="W35" s="46">
        <f t="shared" si="7"/>
        <v>0</v>
      </c>
      <c r="X35" s="46">
        <f t="shared" si="11"/>
        <v>0</v>
      </c>
      <c r="Y35" s="47">
        <v>1.02</v>
      </c>
      <c r="Z35" s="47">
        <f t="shared" si="8"/>
        <v>0</v>
      </c>
      <c r="AA35" s="47">
        <f t="shared" si="9"/>
        <v>0</v>
      </c>
      <c r="AB35" s="47">
        <f t="shared" si="10"/>
        <v>0</v>
      </c>
      <c r="AC35" s="133" t="str">
        <f t="shared" si="12"/>
        <v/>
      </c>
    </row>
    <row r="36" spans="1:29" x14ac:dyDescent="0.3">
      <c r="A36" s="116">
        <v>7139297</v>
      </c>
      <c r="B36" s="85" t="s">
        <v>34</v>
      </c>
      <c r="C36" s="48" t="s">
        <v>0</v>
      </c>
      <c r="D36" s="4" t="s">
        <v>1</v>
      </c>
      <c r="E36" s="49" t="s">
        <v>68</v>
      </c>
      <c r="F36" s="59"/>
      <c r="G36" s="71"/>
      <c r="H36" s="71"/>
      <c r="I36" s="60"/>
      <c r="J36" s="91"/>
      <c r="K36" s="35">
        <v>0.58699999999999997</v>
      </c>
      <c r="L36" s="10">
        <v>5</v>
      </c>
      <c r="M36" s="11">
        <v>25</v>
      </c>
      <c r="N36" s="12">
        <f t="shared" si="0"/>
        <v>0</v>
      </c>
      <c r="O36" s="13">
        <f t="shared" si="1"/>
        <v>0</v>
      </c>
      <c r="P36" s="10">
        <v>24</v>
      </c>
      <c r="Q36" s="14">
        <v>600</v>
      </c>
      <c r="R36" s="15">
        <f t="shared" si="2"/>
        <v>0</v>
      </c>
      <c r="S36" s="13">
        <f t="shared" si="3"/>
        <v>0</v>
      </c>
      <c r="T36" s="83">
        <f t="shared" si="4"/>
        <v>0</v>
      </c>
      <c r="U36" s="144">
        <f t="shared" si="5"/>
        <v>0</v>
      </c>
      <c r="V36" s="140">
        <f t="shared" si="6"/>
        <v>0</v>
      </c>
      <c r="W36" s="44">
        <f t="shared" si="7"/>
        <v>0</v>
      </c>
      <c r="X36" s="44">
        <f t="shared" si="11"/>
        <v>0</v>
      </c>
      <c r="Y36" s="45">
        <v>1.02</v>
      </c>
      <c r="Z36" s="45">
        <f t="shared" si="8"/>
        <v>0</v>
      </c>
      <c r="AA36" s="45">
        <f t="shared" si="9"/>
        <v>0</v>
      </c>
      <c r="AB36" s="45">
        <f t="shared" si="10"/>
        <v>0</v>
      </c>
      <c r="AC36" s="133" t="str">
        <f t="shared" si="12"/>
        <v/>
      </c>
    </row>
    <row r="37" spans="1:29" x14ac:dyDescent="0.3">
      <c r="A37" s="117">
        <v>7139296</v>
      </c>
      <c r="B37" s="80" t="s">
        <v>37</v>
      </c>
      <c r="C37" s="50" t="s">
        <v>0</v>
      </c>
      <c r="D37" s="5" t="s">
        <v>1</v>
      </c>
      <c r="E37" s="51" t="s">
        <v>68</v>
      </c>
      <c r="F37" s="56"/>
      <c r="G37" s="66"/>
      <c r="H37" s="66"/>
      <c r="I37" s="57"/>
      <c r="J37" s="92"/>
      <c r="K37" s="36">
        <v>1.111</v>
      </c>
      <c r="L37" s="16">
        <v>5</v>
      </c>
      <c r="M37" s="17">
        <v>25</v>
      </c>
      <c r="N37" s="18">
        <f t="shared" ref="N37:N68" si="13">ROUND((V37-R37)*Q37/M37,0)</f>
        <v>0</v>
      </c>
      <c r="O37" s="19">
        <f t="shared" si="1"/>
        <v>0</v>
      </c>
      <c r="P37" s="16">
        <v>18</v>
      </c>
      <c r="Q37" s="20">
        <v>450</v>
      </c>
      <c r="R37" s="21">
        <f t="shared" si="2"/>
        <v>0</v>
      </c>
      <c r="S37" s="19">
        <f t="shared" si="3"/>
        <v>0</v>
      </c>
      <c r="T37" s="78">
        <f t="shared" ref="T37:T68" si="14">K37*U37</f>
        <v>0</v>
      </c>
      <c r="U37" s="145">
        <f t="shared" si="5"/>
        <v>0</v>
      </c>
      <c r="V37" s="141">
        <f t="shared" ref="V37:V68" si="15">ROUND(J37/Q37,3)</f>
        <v>0</v>
      </c>
      <c r="W37" s="41">
        <f t="shared" ref="W37:W68" si="16">O37/Q37</f>
        <v>0</v>
      </c>
      <c r="X37" s="41">
        <f t="shared" si="11"/>
        <v>0</v>
      </c>
      <c r="Y37" s="40">
        <v>1.02</v>
      </c>
      <c r="Z37" s="40">
        <f t="shared" si="8"/>
        <v>0</v>
      </c>
      <c r="AA37" s="40">
        <f t="shared" ref="AA37:AA68" si="17">R37*Y37</f>
        <v>0</v>
      </c>
      <c r="AB37" s="40">
        <f t="shared" si="10"/>
        <v>0</v>
      </c>
      <c r="AC37" s="133" t="str">
        <f t="shared" si="12"/>
        <v/>
      </c>
    </row>
    <row r="38" spans="1:29" x14ac:dyDescent="0.3">
      <c r="A38" s="117">
        <v>7139298</v>
      </c>
      <c r="B38" s="80" t="s">
        <v>38</v>
      </c>
      <c r="C38" s="50" t="s">
        <v>0</v>
      </c>
      <c r="D38" s="5" t="s">
        <v>1</v>
      </c>
      <c r="E38" s="51" t="s">
        <v>68</v>
      </c>
      <c r="F38" s="56"/>
      <c r="G38" s="66"/>
      <c r="H38" s="66"/>
      <c r="I38" s="57"/>
      <c r="J38" s="92"/>
      <c r="K38" s="36">
        <v>1.4039999999999999</v>
      </c>
      <c r="L38" s="16">
        <v>3</v>
      </c>
      <c r="M38" s="17">
        <v>15</v>
      </c>
      <c r="N38" s="18">
        <f t="shared" si="13"/>
        <v>0</v>
      </c>
      <c r="O38" s="19">
        <f t="shared" si="1"/>
        <v>0</v>
      </c>
      <c r="P38" s="16">
        <v>15</v>
      </c>
      <c r="Q38" s="20">
        <v>225</v>
      </c>
      <c r="R38" s="21">
        <f t="shared" si="2"/>
        <v>0</v>
      </c>
      <c r="S38" s="19">
        <f t="shared" si="3"/>
        <v>0</v>
      </c>
      <c r="T38" s="78">
        <f t="shared" si="14"/>
        <v>0</v>
      </c>
      <c r="U38" s="145">
        <f t="shared" si="5"/>
        <v>0</v>
      </c>
      <c r="V38" s="141">
        <f t="shared" si="15"/>
        <v>0</v>
      </c>
      <c r="W38" s="41">
        <f t="shared" si="16"/>
        <v>0</v>
      </c>
      <c r="X38" s="41">
        <f t="shared" si="11"/>
        <v>0</v>
      </c>
      <c r="Y38" s="40">
        <v>1.02</v>
      </c>
      <c r="Z38" s="40">
        <f t="shared" si="8"/>
        <v>0</v>
      </c>
      <c r="AA38" s="40">
        <f t="shared" si="17"/>
        <v>0</v>
      </c>
      <c r="AB38" s="40">
        <f t="shared" si="10"/>
        <v>0</v>
      </c>
      <c r="AC38" s="133" t="str">
        <f t="shared" si="12"/>
        <v/>
      </c>
    </row>
    <row r="39" spans="1:29" x14ac:dyDescent="0.3">
      <c r="A39" s="117">
        <v>7139299</v>
      </c>
      <c r="B39" s="80" t="s">
        <v>40</v>
      </c>
      <c r="C39" s="50" t="s">
        <v>0</v>
      </c>
      <c r="D39" s="5" t="s">
        <v>1</v>
      </c>
      <c r="E39" s="51" t="s">
        <v>68</v>
      </c>
      <c r="F39" s="56"/>
      <c r="G39" s="66"/>
      <c r="H39" s="66"/>
      <c r="I39" s="57"/>
      <c r="J39" s="92"/>
      <c r="K39" s="36">
        <v>1.698</v>
      </c>
      <c r="L39" s="16">
        <v>3</v>
      </c>
      <c r="M39" s="17">
        <v>15</v>
      </c>
      <c r="N39" s="18">
        <f t="shared" si="13"/>
        <v>0</v>
      </c>
      <c r="O39" s="19">
        <f t="shared" si="1"/>
        <v>0</v>
      </c>
      <c r="P39" s="16">
        <v>15</v>
      </c>
      <c r="Q39" s="20">
        <v>225</v>
      </c>
      <c r="R39" s="21">
        <f t="shared" si="2"/>
        <v>0</v>
      </c>
      <c r="S39" s="19">
        <f t="shared" si="3"/>
        <v>0</v>
      </c>
      <c r="T39" s="78">
        <f t="shared" si="14"/>
        <v>0</v>
      </c>
      <c r="U39" s="145">
        <f t="shared" si="5"/>
        <v>0</v>
      </c>
      <c r="V39" s="141">
        <f t="shared" si="15"/>
        <v>0</v>
      </c>
      <c r="W39" s="41">
        <f t="shared" si="16"/>
        <v>0</v>
      </c>
      <c r="X39" s="41">
        <f t="shared" si="11"/>
        <v>0</v>
      </c>
      <c r="Y39" s="40">
        <v>1.02</v>
      </c>
      <c r="Z39" s="40">
        <f t="shared" si="8"/>
        <v>0</v>
      </c>
      <c r="AA39" s="40">
        <f t="shared" si="17"/>
        <v>0</v>
      </c>
      <c r="AB39" s="40">
        <f t="shared" si="10"/>
        <v>0</v>
      </c>
      <c r="AC39" s="133" t="str">
        <f t="shared" si="12"/>
        <v/>
      </c>
    </row>
    <row r="40" spans="1:29" x14ac:dyDescent="0.3">
      <c r="A40" s="117">
        <v>7146292</v>
      </c>
      <c r="B40" s="80" t="s">
        <v>42</v>
      </c>
      <c r="C40" s="50" t="s">
        <v>0</v>
      </c>
      <c r="D40" s="5" t="s">
        <v>1</v>
      </c>
      <c r="E40" s="51" t="s">
        <v>68</v>
      </c>
      <c r="F40" s="56"/>
      <c r="G40" s="66"/>
      <c r="H40" s="66"/>
      <c r="I40" s="57"/>
      <c r="J40" s="92"/>
      <c r="K40" s="36">
        <v>2.2010000000000001</v>
      </c>
      <c r="L40" s="16">
        <v>3</v>
      </c>
      <c r="M40" s="17">
        <v>15</v>
      </c>
      <c r="N40" s="18">
        <f t="shared" si="13"/>
        <v>0</v>
      </c>
      <c r="O40" s="19">
        <f t="shared" si="1"/>
        <v>0</v>
      </c>
      <c r="P40" s="16">
        <v>10</v>
      </c>
      <c r="Q40" s="20">
        <v>150</v>
      </c>
      <c r="R40" s="21">
        <f t="shared" si="2"/>
        <v>0</v>
      </c>
      <c r="S40" s="19">
        <f t="shared" si="3"/>
        <v>0</v>
      </c>
      <c r="T40" s="78">
        <f t="shared" si="14"/>
        <v>0</v>
      </c>
      <c r="U40" s="145">
        <f t="shared" si="5"/>
        <v>0</v>
      </c>
      <c r="V40" s="141">
        <f t="shared" si="15"/>
        <v>0</v>
      </c>
      <c r="W40" s="41">
        <f t="shared" si="16"/>
        <v>0</v>
      </c>
      <c r="X40" s="41">
        <f t="shared" si="11"/>
        <v>0</v>
      </c>
      <c r="Y40" s="40">
        <v>1.02</v>
      </c>
      <c r="Z40" s="40">
        <f t="shared" si="8"/>
        <v>0</v>
      </c>
      <c r="AA40" s="40">
        <f t="shared" si="17"/>
        <v>0</v>
      </c>
      <c r="AB40" s="40">
        <f t="shared" si="10"/>
        <v>0</v>
      </c>
      <c r="AC40" s="133" t="str">
        <f t="shared" si="12"/>
        <v/>
      </c>
    </row>
    <row r="41" spans="1:29" x14ac:dyDescent="0.3">
      <c r="A41" s="117">
        <v>7088192</v>
      </c>
      <c r="B41" s="80" t="s">
        <v>43</v>
      </c>
      <c r="C41" s="50" t="s">
        <v>0</v>
      </c>
      <c r="D41" s="5" t="s">
        <v>1</v>
      </c>
      <c r="E41" s="51" t="s">
        <v>68</v>
      </c>
      <c r="F41" s="56"/>
      <c r="G41" s="66"/>
      <c r="H41" s="66"/>
      <c r="I41" s="57"/>
      <c r="J41" s="92"/>
      <c r="K41" s="36">
        <v>2.9060000000000001</v>
      </c>
      <c r="L41" s="16">
        <v>3</v>
      </c>
      <c r="M41" s="17">
        <v>15</v>
      </c>
      <c r="N41" s="18">
        <f t="shared" si="13"/>
        <v>0</v>
      </c>
      <c r="O41" s="19">
        <f t="shared" si="1"/>
        <v>0</v>
      </c>
      <c r="P41" s="16">
        <v>10</v>
      </c>
      <c r="Q41" s="20">
        <v>150</v>
      </c>
      <c r="R41" s="21">
        <f t="shared" si="2"/>
        <v>0</v>
      </c>
      <c r="S41" s="19">
        <f t="shared" si="3"/>
        <v>0</v>
      </c>
      <c r="T41" s="78">
        <f t="shared" si="14"/>
        <v>0</v>
      </c>
      <c r="U41" s="145">
        <f t="shared" si="5"/>
        <v>0</v>
      </c>
      <c r="V41" s="141">
        <f t="shared" si="15"/>
        <v>0</v>
      </c>
      <c r="W41" s="41">
        <f t="shared" si="16"/>
        <v>0</v>
      </c>
      <c r="X41" s="41">
        <f t="shared" si="11"/>
        <v>0</v>
      </c>
      <c r="Y41" s="40">
        <v>1.02</v>
      </c>
      <c r="Z41" s="40">
        <f t="shared" si="8"/>
        <v>0</v>
      </c>
      <c r="AA41" s="40">
        <f t="shared" si="17"/>
        <v>0</v>
      </c>
      <c r="AB41" s="40">
        <f t="shared" si="10"/>
        <v>0</v>
      </c>
      <c r="AC41" s="133" t="str">
        <f t="shared" si="12"/>
        <v/>
      </c>
    </row>
    <row r="42" spans="1:29" x14ac:dyDescent="0.3">
      <c r="A42" s="117">
        <v>7150640</v>
      </c>
      <c r="B42" s="80" t="s">
        <v>44</v>
      </c>
      <c r="C42" s="50" t="s">
        <v>0</v>
      </c>
      <c r="D42" s="5" t="s">
        <v>1</v>
      </c>
      <c r="E42" s="51" t="s">
        <v>68</v>
      </c>
      <c r="F42" s="56"/>
      <c r="G42" s="66"/>
      <c r="H42" s="66"/>
      <c r="I42" s="57"/>
      <c r="J42" s="92"/>
      <c r="K42" s="36">
        <v>3.4670000000000001</v>
      </c>
      <c r="L42" s="16">
        <v>2</v>
      </c>
      <c r="M42" s="17">
        <v>10</v>
      </c>
      <c r="N42" s="18">
        <f t="shared" si="13"/>
        <v>0</v>
      </c>
      <c r="O42" s="19">
        <f t="shared" si="1"/>
        <v>0</v>
      </c>
      <c r="P42" s="16">
        <v>10</v>
      </c>
      <c r="Q42" s="20">
        <v>100</v>
      </c>
      <c r="R42" s="21">
        <f t="shared" si="2"/>
        <v>0</v>
      </c>
      <c r="S42" s="19">
        <f t="shared" si="3"/>
        <v>0</v>
      </c>
      <c r="T42" s="78">
        <f t="shared" si="14"/>
        <v>0</v>
      </c>
      <c r="U42" s="145">
        <f t="shared" si="5"/>
        <v>0</v>
      </c>
      <c r="V42" s="141">
        <f t="shared" si="15"/>
        <v>0</v>
      </c>
      <c r="W42" s="41">
        <f t="shared" si="16"/>
        <v>0</v>
      </c>
      <c r="X42" s="41">
        <f t="shared" si="11"/>
        <v>0</v>
      </c>
      <c r="Y42" s="40">
        <v>1.02</v>
      </c>
      <c r="Z42" s="40">
        <f t="shared" si="8"/>
        <v>0</v>
      </c>
      <c r="AA42" s="40">
        <f t="shared" si="17"/>
        <v>0</v>
      </c>
      <c r="AB42" s="40">
        <f t="shared" si="10"/>
        <v>0</v>
      </c>
      <c r="AC42" s="133" t="str">
        <f t="shared" si="12"/>
        <v/>
      </c>
    </row>
    <row r="43" spans="1:29" x14ac:dyDescent="0.3">
      <c r="A43" s="117">
        <v>7088196</v>
      </c>
      <c r="B43" s="80" t="s">
        <v>45</v>
      </c>
      <c r="C43" s="50" t="s">
        <v>0</v>
      </c>
      <c r="D43" s="5" t="s">
        <v>1</v>
      </c>
      <c r="E43" s="51" t="s">
        <v>68</v>
      </c>
      <c r="F43" s="56"/>
      <c r="G43" s="66"/>
      <c r="H43" s="66"/>
      <c r="I43" s="57"/>
      <c r="J43" s="92"/>
      <c r="K43" s="36">
        <v>4.1440000000000001</v>
      </c>
      <c r="L43" s="16">
        <v>2</v>
      </c>
      <c r="M43" s="17">
        <v>10</v>
      </c>
      <c r="N43" s="18">
        <f t="shared" si="13"/>
        <v>0</v>
      </c>
      <c r="O43" s="19">
        <f t="shared" si="1"/>
        <v>0</v>
      </c>
      <c r="P43" s="16">
        <v>10</v>
      </c>
      <c r="Q43" s="20">
        <v>100</v>
      </c>
      <c r="R43" s="21">
        <f t="shared" si="2"/>
        <v>0</v>
      </c>
      <c r="S43" s="19">
        <f t="shared" si="3"/>
        <v>0</v>
      </c>
      <c r="T43" s="78">
        <f t="shared" si="14"/>
        <v>0</v>
      </c>
      <c r="U43" s="145">
        <f t="shared" si="5"/>
        <v>0</v>
      </c>
      <c r="V43" s="141">
        <f t="shared" si="15"/>
        <v>0</v>
      </c>
      <c r="W43" s="41">
        <f t="shared" si="16"/>
        <v>0</v>
      </c>
      <c r="X43" s="41">
        <f t="shared" si="11"/>
        <v>0</v>
      </c>
      <c r="Y43" s="40">
        <v>1.02</v>
      </c>
      <c r="Z43" s="40">
        <f t="shared" si="8"/>
        <v>0</v>
      </c>
      <c r="AA43" s="40">
        <f t="shared" si="17"/>
        <v>0</v>
      </c>
      <c r="AB43" s="40">
        <f t="shared" si="10"/>
        <v>0</v>
      </c>
      <c r="AC43" s="133" t="str">
        <f t="shared" si="12"/>
        <v/>
      </c>
    </row>
    <row r="44" spans="1:29" x14ac:dyDescent="0.3">
      <c r="A44" s="117">
        <v>7088542</v>
      </c>
      <c r="B44" s="80" t="s">
        <v>46</v>
      </c>
      <c r="C44" s="50" t="s">
        <v>0</v>
      </c>
      <c r="D44" s="5" t="s">
        <v>1</v>
      </c>
      <c r="E44" s="51" t="s">
        <v>68</v>
      </c>
      <c r="F44" s="56"/>
      <c r="G44" s="66"/>
      <c r="H44" s="66"/>
      <c r="I44" s="57"/>
      <c r="J44" s="92"/>
      <c r="K44" s="36">
        <v>4.859</v>
      </c>
      <c r="L44" s="16">
        <v>2</v>
      </c>
      <c r="M44" s="17">
        <v>10</v>
      </c>
      <c r="N44" s="18">
        <f t="shared" si="13"/>
        <v>0</v>
      </c>
      <c r="O44" s="19">
        <f t="shared" si="1"/>
        <v>0</v>
      </c>
      <c r="P44" s="16">
        <v>10</v>
      </c>
      <c r="Q44" s="20">
        <v>100</v>
      </c>
      <c r="R44" s="21">
        <f t="shared" si="2"/>
        <v>0</v>
      </c>
      <c r="S44" s="19">
        <f t="shared" si="3"/>
        <v>0</v>
      </c>
      <c r="T44" s="78">
        <f t="shared" si="14"/>
        <v>0</v>
      </c>
      <c r="U44" s="145">
        <f t="shared" si="5"/>
        <v>0</v>
      </c>
      <c r="V44" s="141">
        <f t="shared" si="15"/>
        <v>0</v>
      </c>
      <c r="W44" s="41">
        <f t="shared" si="16"/>
        <v>0</v>
      </c>
      <c r="X44" s="41">
        <f t="shared" si="11"/>
        <v>0</v>
      </c>
      <c r="Y44" s="40">
        <v>1.02</v>
      </c>
      <c r="Z44" s="40">
        <f t="shared" si="8"/>
        <v>0</v>
      </c>
      <c r="AA44" s="40">
        <f t="shared" si="17"/>
        <v>0</v>
      </c>
      <c r="AB44" s="40">
        <f t="shared" si="10"/>
        <v>0</v>
      </c>
      <c r="AC44" s="133" t="str">
        <f t="shared" si="12"/>
        <v/>
      </c>
    </row>
    <row r="45" spans="1:29" ht="14.5" thickBot="1" x14ac:dyDescent="0.35">
      <c r="A45" s="118">
        <v>7089463</v>
      </c>
      <c r="B45" s="81" t="s">
        <v>47</v>
      </c>
      <c r="C45" s="52" t="s">
        <v>0</v>
      </c>
      <c r="D45" s="6" t="s">
        <v>1</v>
      </c>
      <c r="E45" s="53" t="s">
        <v>68</v>
      </c>
      <c r="F45" s="64"/>
      <c r="G45" s="72"/>
      <c r="H45" s="72"/>
      <c r="I45" s="62"/>
      <c r="J45" s="93"/>
      <c r="K45" s="37">
        <v>7.3739999999999997</v>
      </c>
      <c r="L45" s="27">
        <v>1</v>
      </c>
      <c r="M45" s="26">
        <v>5</v>
      </c>
      <c r="N45" s="22">
        <f t="shared" si="13"/>
        <v>0</v>
      </c>
      <c r="O45" s="23">
        <f t="shared" si="1"/>
        <v>0</v>
      </c>
      <c r="P45" s="27">
        <v>5</v>
      </c>
      <c r="Q45" s="24">
        <v>25</v>
      </c>
      <c r="R45" s="25">
        <f t="shared" si="2"/>
        <v>0</v>
      </c>
      <c r="S45" s="23">
        <f t="shared" si="3"/>
        <v>0</v>
      </c>
      <c r="T45" s="79">
        <f t="shared" si="14"/>
        <v>0</v>
      </c>
      <c r="U45" s="146">
        <f t="shared" si="5"/>
        <v>0</v>
      </c>
      <c r="V45" s="142">
        <f t="shared" si="15"/>
        <v>0</v>
      </c>
      <c r="W45" s="46">
        <f t="shared" si="16"/>
        <v>0</v>
      </c>
      <c r="X45" s="46">
        <f t="shared" si="11"/>
        <v>0</v>
      </c>
      <c r="Y45" s="47">
        <v>1.02</v>
      </c>
      <c r="Z45" s="47">
        <f t="shared" si="8"/>
        <v>0</v>
      </c>
      <c r="AA45" s="47">
        <f t="shared" si="17"/>
        <v>0</v>
      </c>
      <c r="AB45" s="47">
        <f t="shared" si="10"/>
        <v>0</v>
      </c>
      <c r="AC45" s="133" t="str">
        <f t="shared" si="12"/>
        <v/>
      </c>
    </row>
    <row r="46" spans="1:29" ht="12.75" customHeight="1" x14ac:dyDescent="0.3">
      <c r="A46" s="116">
        <v>7146293</v>
      </c>
      <c r="B46" s="85" t="s">
        <v>30</v>
      </c>
      <c r="C46" s="48" t="s">
        <v>2</v>
      </c>
      <c r="D46" s="4" t="s">
        <v>1</v>
      </c>
      <c r="E46" s="49" t="s">
        <v>67</v>
      </c>
      <c r="F46" s="59"/>
      <c r="G46" s="71"/>
      <c r="H46" s="71"/>
      <c r="I46" s="60"/>
      <c r="J46" s="91"/>
      <c r="K46" s="35">
        <v>0.308</v>
      </c>
      <c r="L46" s="10">
        <v>10</v>
      </c>
      <c r="M46" s="11">
        <v>50</v>
      </c>
      <c r="N46" s="12">
        <f t="shared" si="13"/>
        <v>0</v>
      </c>
      <c r="O46" s="13">
        <f t="shared" si="1"/>
        <v>0</v>
      </c>
      <c r="P46" s="10">
        <v>20</v>
      </c>
      <c r="Q46" s="14">
        <v>1000</v>
      </c>
      <c r="R46" s="15">
        <f t="shared" si="2"/>
        <v>0</v>
      </c>
      <c r="S46" s="13">
        <f t="shared" si="3"/>
        <v>0</v>
      </c>
      <c r="T46" s="83">
        <f t="shared" si="14"/>
        <v>0</v>
      </c>
      <c r="U46" s="144">
        <f t="shared" si="5"/>
        <v>0</v>
      </c>
      <c r="V46" s="140">
        <f t="shared" si="15"/>
        <v>0</v>
      </c>
      <c r="W46" s="44">
        <f t="shared" si="16"/>
        <v>0</v>
      </c>
      <c r="X46" s="44">
        <f t="shared" si="11"/>
        <v>0</v>
      </c>
      <c r="Y46" s="45">
        <v>1.02</v>
      </c>
      <c r="Z46" s="45">
        <f t="shared" si="8"/>
        <v>0</v>
      </c>
      <c r="AA46" s="45">
        <f t="shared" si="17"/>
        <v>0</v>
      </c>
      <c r="AB46" s="45">
        <f t="shared" si="10"/>
        <v>0</v>
      </c>
      <c r="AC46" s="133" t="str">
        <f t="shared" si="12"/>
        <v/>
      </c>
    </row>
    <row r="47" spans="1:29" ht="12.75" customHeight="1" x14ac:dyDescent="0.3">
      <c r="A47" s="117">
        <v>7146300</v>
      </c>
      <c r="B47" s="80" t="s">
        <v>31</v>
      </c>
      <c r="C47" s="50" t="s">
        <v>2</v>
      </c>
      <c r="D47" s="5" t="s">
        <v>1</v>
      </c>
      <c r="E47" s="51" t="s">
        <v>67</v>
      </c>
      <c r="F47" s="56"/>
      <c r="G47" s="66"/>
      <c r="H47" s="66"/>
      <c r="I47" s="57"/>
      <c r="J47" s="92"/>
      <c r="K47" s="36">
        <v>0.39100000000000001</v>
      </c>
      <c r="L47" s="16">
        <v>10</v>
      </c>
      <c r="M47" s="17">
        <v>50</v>
      </c>
      <c r="N47" s="18">
        <f t="shared" si="13"/>
        <v>0</v>
      </c>
      <c r="O47" s="19">
        <f t="shared" si="1"/>
        <v>0</v>
      </c>
      <c r="P47" s="16">
        <v>12</v>
      </c>
      <c r="Q47" s="20">
        <v>600</v>
      </c>
      <c r="R47" s="21">
        <f t="shared" si="2"/>
        <v>0</v>
      </c>
      <c r="S47" s="19">
        <f t="shared" si="3"/>
        <v>0</v>
      </c>
      <c r="T47" s="78">
        <f t="shared" si="14"/>
        <v>0</v>
      </c>
      <c r="U47" s="145">
        <f t="shared" si="5"/>
        <v>0</v>
      </c>
      <c r="V47" s="141">
        <f t="shared" si="15"/>
        <v>0</v>
      </c>
      <c r="W47" s="41">
        <f t="shared" si="16"/>
        <v>0</v>
      </c>
      <c r="X47" s="41">
        <f t="shared" si="11"/>
        <v>0</v>
      </c>
      <c r="Y47" s="40">
        <v>1.02</v>
      </c>
      <c r="Z47" s="40">
        <f t="shared" si="8"/>
        <v>0</v>
      </c>
      <c r="AA47" s="40">
        <f t="shared" si="17"/>
        <v>0</v>
      </c>
      <c r="AB47" s="40">
        <f t="shared" si="10"/>
        <v>0</v>
      </c>
      <c r="AC47" s="133" t="str">
        <f t="shared" si="12"/>
        <v/>
      </c>
    </row>
    <row r="48" spans="1:29" ht="12.75" customHeight="1" x14ac:dyDescent="0.3">
      <c r="A48" s="117">
        <v>7146301</v>
      </c>
      <c r="B48" s="80" t="s">
        <v>33</v>
      </c>
      <c r="C48" s="50" t="s">
        <v>2</v>
      </c>
      <c r="D48" s="5" t="s">
        <v>1</v>
      </c>
      <c r="E48" s="51" t="s">
        <v>67</v>
      </c>
      <c r="F48" s="56"/>
      <c r="G48" s="66"/>
      <c r="H48" s="66"/>
      <c r="I48" s="57"/>
      <c r="J48" s="92"/>
      <c r="K48" s="36">
        <v>0.47499999999999998</v>
      </c>
      <c r="L48" s="16">
        <v>10</v>
      </c>
      <c r="M48" s="17">
        <v>50</v>
      </c>
      <c r="N48" s="18">
        <f t="shared" si="13"/>
        <v>0</v>
      </c>
      <c r="O48" s="19">
        <f t="shared" si="1"/>
        <v>0</v>
      </c>
      <c r="P48" s="16">
        <v>12</v>
      </c>
      <c r="Q48" s="20">
        <v>600</v>
      </c>
      <c r="R48" s="21">
        <f t="shared" si="2"/>
        <v>0</v>
      </c>
      <c r="S48" s="19">
        <f t="shared" si="3"/>
        <v>0</v>
      </c>
      <c r="T48" s="78">
        <f t="shared" si="14"/>
        <v>0</v>
      </c>
      <c r="U48" s="145">
        <f t="shared" si="5"/>
        <v>0</v>
      </c>
      <c r="V48" s="141">
        <f t="shared" si="15"/>
        <v>0</v>
      </c>
      <c r="W48" s="41">
        <f t="shared" si="16"/>
        <v>0</v>
      </c>
      <c r="X48" s="41">
        <f t="shared" si="11"/>
        <v>0</v>
      </c>
      <c r="Y48" s="40">
        <v>1.02</v>
      </c>
      <c r="Z48" s="40">
        <f t="shared" si="8"/>
        <v>0</v>
      </c>
      <c r="AA48" s="40">
        <f t="shared" si="17"/>
        <v>0</v>
      </c>
      <c r="AB48" s="40">
        <f t="shared" si="10"/>
        <v>0</v>
      </c>
      <c r="AC48" s="133" t="str">
        <f t="shared" si="12"/>
        <v/>
      </c>
    </row>
    <row r="49" spans="1:29" ht="12.75" customHeight="1" x14ac:dyDescent="0.3">
      <c r="A49" s="117">
        <v>7146303</v>
      </c>
      <c r="B49" s="80" t="s">
        <v>34</v>
      </c>
      <c r="C49" s="50" t="s">
        <v>2</v>
      </c>
      <c r="D49" s="5" t="s">
        <v>1</v>
      </c>
      <c r="E49" s="51" t="s">
        <v>67</v>
      </c>
      <c r="F49" s="56"/>
      <c r="G49" s="66"/>
      <c r="H49" s="66"/>
      <c r="I49" s="57"/>
      <c r="J49" s="92"/>
      <c r="K49" s="36">
        <v>0.58699999999999997</v>
      </c>
      <c r="L49" s="16">
        <v>10</v>
      </c>
      <c r="M49" s="17">
        <v>50</v>
      </c>
      <c r="N49" s="18">
        <f t="shared" si="13"/>
        <v>0</v>
      </c>
      <c r="O49" s="19">
        <f t="shared" si="1"/>
        <v>0</v>
      </c>
      <c r="P49" s="16">
        <v>12</v>
      </c>
      <c r="Q49" s="20">
        <v>600</v>
      </c>
      <c r="R49" s="21">
        <f t="shared" si="2"/>
        <v>0</v>
      </c>
      <c r="S49" s="19">
        <f t="shared" si="3"/>
        <v>0</v>
      </c>
      <c r="T49" s="78">
        <f t="shared" si="14"/>
        <v>0</v>
      </c>
      <c r="U49" s="145">
        <f t="shared" si="5"/>
        <v>0</v>
      </c>
      <c r="V49" s="141">
        <f t="shared" si="15"/>
        <v>0</v>
      </c>
      <c r="W49" s="41">
        <f t="shared" si="16"/>
        <v>0</v>
      </c>
      <c r="X49" s="41">
        <f t="shared" si="11"/>
        <v>0</v>
      </c>
      <c r="Y49" s="40">
        <v>1.02</v>
      </c>
      <c r="Z49" s="40">
        <f t="shared" si="8"/>
        <v>0</v>
      </c>
      <c r="AA49" s="40">
        <f t="shared" si="17"/>
        <v>0</v>
      </c>
      <c r="AB49" s="40">
        <f t="shared" si="10"/>
        <v>0</v>
      </c>
      <c r="AC49" s="133" t="str">
        <f t="shared" si="12"/>
        <v/>
      </c>
    </row>
    <row r="50" spans="1:29" ht="12.75" customHeight="1" x14ac:dyDescent="0.3">
      <c r="A50" s="117">
        <v>7146304</v>
      </c>
      <c r="B50" s="80" t="s">
        <v>37</v>
      </c>
      <c r="C50" s="50" t="s">
        <v>2</v>
      </c>
      <c r="D50" s="5" t="s">
        <v>1</v>
      </c>
      <c r="E50" s="51" t="s">
        <v>67</v>
      </c>
      <c r="F50" s="56"/>
      <c r="G50" s="66"/>
      <c r="H50" s="66"/>
      <c r="I50" s="57"/>
      <c r="J50" s="92"/>
      <c r="K50" s="36">
        <v>1.111</v>
      </c>
      <c r="L50" s="16">
        <v>10</v>
      </c>
      <c r="M50" s="17">
        <v>50</v>
      </c>
      <c r="N50" s="18">
        <f t="shared" si="13"/>
        <v>0</v>
      </c>
      <c r="O50" s="19">
        <f t="shared" si="1"/>
        <v>0</v>
      </c>
      <c r="P50" s="16">
        <v>9</v>
      </c>
      <c r="Q50" s="20">
        <v>450</v>
      </c>
      <c r="R50" s="21">
        <f t="shared" si="2"/>
        <v>0</v>
      </c>
      <c r="S50" s="19">
        <f t="shared" si="3"/>
        <v>0</v>
      </c>
      <c r="T50" s="78">
        <f t="shared" si="14"/>
        <v>0</v>
      </c>
      <c r="U50" s="145">
        <f t="shared" si="5"/>
        <v>0</v>
      </c>
      <c r="V50" s="141">
        <f t="shared" si="15"/>
        <v>0</v>
      </c>
      <c r="W50" s="41">
        <f t="shared" si="16"/>
        <v>0</v>
      </c>
      <c r="X50" s="41">
        <f t="shared" si="11"/>
        <v>0</v>
      </c>
      <c r="Y50" s="40">
        <v>1.02</v>
      </c>
      <c r="Z50" s="40">
        <f t="shared" si="8"/>
        <v>0</v>
      </c>
      <c r="AA50" s="40">
        <f t="shared" si="17"/>
        <v>0</v>
      </c>
      <c r="AB50" s="40">
        <f t="shared" si="10"/>
        <v>0</v>
      </c>
      <c r="AC50" s="133" t="str">
        <f t="shared" si="12"/>
        <v/>
      </c>
    </row>
    <row r="51" spans="1:29" ht="12.75" customHeight="1" x14ac:dyDescent="0.3">
      <c r="A51" s="117">
        <v>7146305</v>
      </c>
      <c r="B51" s="80" t="s">
        <v>36</v>
      </c>
      <c r="C51" s="50" t="s">
        <v>2</v>
      </c>
      <c r="D51" s="5" t="s">
        <v>1</v>
      </c>
      <c r="E51" s="51" t="s">
        <v>67</v>
      </c>
      <c r="F51" s="56"/>
      <c r="G51" s="66"/>
      <c r="H51" s="66"/>
      <c r="I51" s="57"/>
      <c r="J51" s="92"/>
      <c r="K51" s="36">
        <v>0.755</v>
      </c>
      <c r="L51" s="16">
        <v>10</v>
      </c>
      <c r="M51" s="17">
        <v>50</v>
      </c>
      <c r="N51" s="18">
        <f t="shared" si="13"/>
        <v>0</v>
      </c>
      <c r="O51" s="19">
        <f t="shared" si="1"/>
        <v>0</v>
      </c>
      <c r="P51" s="16">
        <v>9</v>
      </c>
      <c r="Q51" s="20">
        <v>450</v>
      </c>
      <c r="R51" s="21">
        <f t="shared" si="2"/>
        <v>0</v>
      </c>
      <c r="S51" s="19">
        <f t="shared" si="3"/>
        <v>0</v>
      </c>
      <c r="T51" s="78">
        <f t="shared" si="14"/>
        <v>0</v>
      </c>
      <c r="U51" s="145">
        <f t="shared" si="5"/>
        <v>0</v>
      </c>
      <c r="V51" s="141">
        <f t="shared" si="15"/>
        <v>0</v>
      </c>
      <c r="W51" s="41">
        <f t="shared" si="16"/>
        <v>0</v>
      </c>
      <c r="X51" s="41">
        <f t="shared" si="11"/>
        <v>0</v>
      </c>
      <c r="Y51" s="40">
        <v>1.02</v>
      </c>
      <c r="Z51" s="40">
        <f t="shared" si="8"/>
        <v>0</v>
      </c>
      <c r="AA51" s="40">
        <f t="shared" si="17"/>
        <v>0</v>
      </c>
      <c r="AB51" s="40">
        <f t="shared" si="10"/>
        <v>0</v>
      </c>
      <c r="AC51" s="133" t="str">
        <f t="shared" si="12"/>
        <v/>
      </c>
    </row>
    <row r="52" spans="1:29" ht="12.75" customHeight="1" x14ac:dyDescent="0.3">
      <c r="A52" s="117">
        <v>7146306</v>
      </c>
      <c r="B52" s="80" t="s">
        <v>38</v>
      </c>
      <c r="C52" s="50" t="s">
        <v>2</v>
      </c>
      <c r="D52" s="5" t="s">
        <v>1</v>
      </c>
      <c r="E52" s="51" t="s">
        <v>67</v>
      </c>
      <c r="F52" s="56"/>
      <c r="G52" s="66"/>
      <c r="H52" s="66"/>
      <c r="I52" s="57"/>
      <c r="J52" s="92"/>
      <c r="K52" s="36">
        <v>1.4039999999999999</v>
      </c>
      <c r="L52" s="16">
        <v>5</v>
      </c>
      <c r="M52" s="17">
        <v>25</v>
      </c>
      <c r="N52" s="18">
        <f t="shared" si="13"/>
        <v>0</v>
      </c>
      <c r="O52" s="19">
        <f t="shared" si="1"/>
        <v>0</v>
      </c>
      <c r="P52" s="16">
        <v>9</v>
      </c>
      <c r="Q52" s="20">
        <v>225</v>
      </c>
      <c r="R52" s="21">
        <f t="shared" si="2"/>
        <v>0</v>
      </c>
      <c r="S52" s="19">
        <f t="shared" si="3"/>
        <v>0</v>
      </c>
      <c r="T52" s="78">
        <f t="shared" si="14"/>
        <v>0</v>
      </c>
      <c r="U52" s="145">
        <f t="shared" si="5"/>
        <v>0</v>
      </c>
      <c r="V52" s="141">
        <f t="shared" si="15"/>
        <v>0</v>
      </c>
      <c r="W52" s="41">
        <f t="shared" si="16"/>
        <v>0</v>
      </c>
      <c r="X52" s="41">
        <f t="shared" si="11"/>
        <v>0</v>
      </c>
      <c r="Y52" s="40">
        <v>1.02</v>
      </c>
      <c r="Z52" s="40">
        <f t="shared" si="8"/>
        <v>0</v>
      </c>
      <c r="AA52" s="40">
        <f t="shared" si="17"/>
        <v>0</v>
      </c>
      <c r="AB52" s="40">
        <f t="shared" si="10"/>
        <v>0</v>
      </c>
      <c r="AC52" s="133" t="str">
        <f t="shared" si="12"/>
        <v/>
      </c>
    </row>
    <row r="53" spans="1:29" ht="14.5" thickBot="1" x14ac:dyDescent="0.35">
      <c r="A53" s="118">
        <v>7146307</v>
      </c>
      <c r="B53" s="81" t="s">
        <v>40</v>
      </c>
      <c r="C53" s="52" t="s">
        <v>2</v>
      </c>
      <c r="D53" s="6" t="s">
        <v>1</v>
      </c>
      <c r="E53" s="53" t="s">
        <v>67</v>
      </c>
      <c r="F53" s="64"/>
      <c r="G53" s="72"/>
      <c r="H53" s="72"/>
      <c r="I53" s="62"/>
      <c r="J53" s="93"/>
      <c r="K53" s="37">
        <v>1.698</v>
      </c>
      <c r="L53" s="27">
        <v>3</v>
      </c>
      <c r="M53" s="26">
        <v>15</v>
      </c>
      <c r="N53" s="22">
        <f t="shared" si="13"/>
        <v>0</v>
      </c>
      <c r="O53" s="23">
        <f t="shared" si="1"/>
        <v>0</v>
      </c>
      <c r="P53" s="27">
        <v>15</v>
      </c>
      <c r="Q53" s="24">
        <v>225</v>
      </c>
      <c r="R53" s="25">
        <f t="shared" si="2"/>
        <v>0</v>
      </c>
      <c r="S53" s="23">
        <f t="shared" si="3"/>
        <v>0</v>
      </c>
      <c r="T53" s="79">
        <f t="shared" si="14"/>
        <v>0</v>
      </c>
      <c r="U53" s="146">
        <f t="shared" si="5"/>
        <v>0</v>
      </c>
      <c r="V53" s="142">
        <f t="shared" si="15"/>
        <v>0</v>
      </c>
      <c r="W53" s="46">
        <f t="shared" si="16"/>
        <v>0</v>
      </c>
      <c r="X53" s="46">
        <f t="shared" si="11"/>
        <v>0</v>
      </c>
      <c r="Y53" s="47">
        <v>1.02</v>
      </c>
      <c r="Z53" s="47">
        <f t="shared" si="8"/>
        <v>0</v>
      </c>
      <c r="AA53" s="47">
        <f t="shared" si="17"/>
        <v>0</v>
      </c>
      <c r="AB53" s="47">
        <f t="shared" si="10"/>
        <v>0</v>
      </c>
      <c r="AC53" s="133" t="str">
        <f t="shared" si="12"/>
        <v/>
      </c>
    </row>
    <row r="54" spans="1:29" ht="14.5" x14ac:dyDescent="0.35">
      <c r="A54" s="116">
        <v>7130347</v>
      </c>
      <c r="B54" s="85" t="s">
        <v>137</v>
      </c>
      <c r="C54" s="48" t="s">
        <v>3</v>
      </c>
      <c r="D54" s="4" t="s">
        <v>66</v>
      </c>
      <c r="E54" s="49" t="s">
        <v>67</v>
      </c>
      <c r="F54" s="58"/>
      <c r="G54" s="82" t="s">
        <v>69</v>
      </c>
      <c r="H54" s="71"/>
      <c r="I54" s="60"/>
      <c r="J54" s="91"/>
      <c r="K54" s="35">
        <v>0.124</v>
      </c>
      <c r="L54" s="10">
        <v>11</v>
      </c>
      <c r="M54" s="11">
        <v>165</v>
      </c>
      <c r="N54" s="12">
        <f t="shared" si="13"/>
        <v>0</v>
      </c>
      <c r="O54" s="13">
        <f t="shared" si="1"/>
        <v>0</v>
      </c>
      <c r="P54" s="10">
        <v>32</v>
      </c>
      <c r="Q54" s="14">
        <v>5280</v>
      </c>
      <c r="R54" s="15">
        <f t="shared" si="2"/>
        <v>0</v>
      </c>
      <c r="S54" s="13">
        <f t="shared" si="3"/>
        <v>0</v>
      </c>
      <c r="T54" s="83">
        <f t="shared" si="14"/>
        <v>0</v>
      </c>
      <c r="U54" s="144">
        <f t="shared" si="5"/>
        <v>0</v>
      </c>
      <c r="V54" s="140">
        <f t="shared" si="15"/>
        <v>0</v>
      </c>
      <c r="W54" s="44">
        <f t="shared" si="16"/>
        <v>0</v>
      </c>
      <c r="X54" s="44">
        <f t="shared" si="11"/>
        <v>0</v>
      </c>
      <c r="Y54" s="45">
        <v>1.02</v>
      </c>
      <c r="Z54" s="45">
        <f t="shared" si="8"/>
        <v>0</v>
      </c>
      <c r="AA54" s="45">
        <f t="shared" si="17"/>
        <v>0</v>
      </c>
      <c r="AB54" s="45">
        <f t="shared" si="10"/>
        <v>0</v>
      </c>
      <c r="AC54" s="133" t="str">
        <f t="shared" si="12"/>
        <v/>
      </c>
    </row>
    <row r="55" spans="1:29" ht="14.5" x14ac:dyDescent="0.35">
      <c r="A55" s="117">
        <v>7130348</v>
      </c>
      <c r="B55" s="80" t="s">
        <v>135</v>
      </c>
      <c r="C55" s="50" t="s">
        <v>3</v>
      </c>
      <c r="D55" s="5" t="s">
        <v>66</v>
      </c>
      <c r="E55" s="51" t="s">
        <v>67</v>
      </c>
      <c r="F55" s="55"/>
      <c r="G55" s="65" t="s">
        <v>69</v>
      </c>
      <c r="H55" s="66"/>
      <c r="I55" s="57"/>
      <c r="J55" s="92"/>
      <c r="K55" s="36">
        <v>0.19500000000000001</v>
      </c>
      <c r="L55" s="16">
        <v>7</v>
      </c>
      <c r="M55" s="17">
        <v>105</v>
      </c>
      <c r="N55" s="18">
        <f t="shared" si="13"/>
        <v>0</v>
      </c>
      <c r="O55" s="19">
        <f t="shared" si="1"/>
        <v>0</v>
      </c>
      <c r="P55" s="16">
        <v>32</v>
      </c>
      <c r="Q55" s="20">
        <v>3360</v>
      </c>
      <c r="R55" s="21">
        <f t="shared" si="2"/>
        <v>0</v>
      </c>
      <c r="S55" s="19">
        <f t="shared" si="3"/>
        <v>0</v>
      </c>
      <c r="T55" s="78">
        <f t="shared" si="14"/>
        <v>0</v>
      </c>
      <c r="U55" s="145">
        <f t="shared" si="5"/>
        <v>0</v>
      </c>
      <c r="V55" s="141">
        <f t="shared" si="15"/>
        <v>0</v>
      </c>
      <c r="W55" s="41">
        <f t="shared" si="16"/>
        <v>0</v>
      </c>
      <c r="X55" s="41">
        <f t="shared" si="11"/>
        <v>0</v>
      </c>
      <c r="Y55" s="40">
        <v>1.02</v>
      </c>
      <c r="Z55" s="40">
        <f t="shared" si="8"/>
        <v>0</v>
      </c>
      <c r="AA55" s="40">
        <f t="shared" si="17"/>
        <v>0</v>
      </c>
      <c r="AB55" s="40">
        <f t="shared" si="10"/>
        <v>0</v>
      </c>
      <c r="AC55" s="133" t="str">
        <f t="shared" si="12"/>
        <v/>
      </c>
    </row>
    <row r="56" spans="1:29" ht="14.5" x14ac:dyDescent="0.35">
      <c r="A56" s="117">
        <v>7130349</v>
      </c>
      <c r="B56" s="80" t="s">
        <v>134</v>
      </c>
      <c r="C56" s="50" t="s">
        <v>3</v>
      </c>
      <c r="D56" s="5" t="s">
        <v>66</v>
      </c>
      <c r="E56" s="51" t="s">
        <v>67</v>
      </c>
      <c r="F56" s="55"/>
      <c r="G56" s="65"/>
      <c r="H56" s="66"/>
      <c r="I56" s="63" t="s">
        <v>69</v>
      </c>
      <c r="J56" s="92"/>
      <c r="K56" s="36">
        <v>0.26600000000000001</v>
      </c>
      <c r="L56" s="16">
        <v>6</v>
      </c>
      <c r="M56" s="17">
        <v>90</v>
      </c>
      <c r="N56" s="18">
        <f t="shared" si="13"/>
        <v>0</v>
      </c>
      <c r="O56" s="19">
        <f t="shared" si="1"/>
        <v>0</v>
      </c>
      <c r="P56" s="16">
        <v>32</v>
      </c>
      <c r="Q56" s="20">
        <v>2880</v>
      </c>
      <c r="R56" s="21">
        <f t="shared" si="2"/>
        <v>0</v>
      </c>
      <c r="S56" s="19">
        <f t="shared" si="3"/>
        <v>0</v>
      </c>
      <c r="T56" s="78">
        <f t="shared" si="14"/>
        <v>0</v>
      </c>
      <c r="U56" s="145">
        <f t="shared" si="5"/>
        <v>0</v>
      </c>
      <c r="V56" s="141">
        <f t="shared" si="15"/>
        <v>0</v>
      </c>
      <c r="W56" s="41">
        <f t="shared" si="16"/>
        <v>0</v>
      </c>
      <c r="X56" s="41">
        <f t="shared" si="11"/>
        <v>0</v>
      </c>
      <c r="Y56" s="40">
        <v>2.29</v>
      </c>
      <c r="Z56" s="40">
        <f t="shared" si="8"/>
        <v>0</v>
      </c>
      <c r="AA56" s="40">
        <f t="shared" si="17"/>
        <v>0</v>
      </c>
      <c r="AB56" s="40">
        <f t="shared" si="10"/>
        <v>0</v>
      </c>
      <c r="AC56" s="133" t="str">
        <f t="shared" si="12"/>
        <v/>
      </c>
    </row>
    <row r="57" spans="1:29" ht="14.5" x14ac:dyDescent="0.35">
      <c r="A57" s="117">
        <v>7130350</v>
      </c>
      <c r="B57" s="80" t="s">
        <v>136</v>
      </c>
      <c r="C57" s="50" t="s">
        <v>3</v>
      </c>
      <c r="D57" s="5" t="s">
        <v>66</v>
      </c>
      <c r="E57" s="51" t="s">
        <v>67</v>
      </c>
      <c r="F57" s="55"/>
      <c r="G57" s="65"/>
      <c r="H57" s="66"/>
      <c r="I57" s="63" t="s">
        <v>69</v>
      </c>
      <c r="J57" s="92"/>
      <c r="K57" s="36">
        <v>0.33700000000000002</v>
      </c>
      <c r="L57" s="16">
        <v>4</v>
      </c>
      <c r="M57" s="17">
        <v>60</v>
      </c>
      <c r="N57" s="18">
        <f t="shared" si="13"/>
        <v>0</v>
      </c>
      <c r="O57" s="19">
        <f t="shared" ref="O57:O85" si="18">N57*M57</f>
        <v>0</v>
      </c>
      <c r="P57" s="16">
        <v>32</v>
      </c>
      <c r="Q57" s="20">
        <v>1920</v>
      </c>
      <c r="R57" s="21">
        <f t="shared" ref="R57:R85" si="19">ROUND(IF(V57&gt;99.99,LEFT(V57,3),IF(V57&gt;9.99,LEFT(V57,2),LEFT(V57,1))),0)</f>
        <v>0</v>
      </c>
      <c r="S57" s="19">
        <f t="shared" ref="S57:S85" si="20">R57*Q57</f>
        <v>0</v>
      </c>
      <c r="T57" s="78">
        <f t="shared" si="14"/>
        <v>0</v>
      </c>
      <c r="U57" s="145">
        <f t="shared" ref="U57:U85" si="21">O57+S57</f>
        <v>0</v>
      </c>
      <c r="V57" s="141">
        <f t="shared" si="15"/>
        <v>0</v>
      </c>
      <c r="W57" s="41">
        <f t="shared" si="16"/>
        <v>0</v>
      </c>
      <c r="X57" s="41">
        <f t="shared" si="11"/>
        <v>0</v>
      </c>
      <c r="Y57" s="40">
        <v>2.29</v>
      </c>
      <c r="Z57" s="40">
        <f t="shared" ref="Z57:Z85" si="22">W57*Y57</f>
        <v>0</v>
      </c>
      <c r="AA57" s="40">
        <f t="shared" si="17"/>
        <v>0</v>
      </c>
      <c r="AB57" s="40">
        <f t="shared" ref="AB57:AB85" si="23">SUM(Z57:AA57)</f>
        <v>0</v>
      </c>
      <c r="AC57" s="133" t="str">
        <f t="shared" si="12"/>
        <v/>
      </c>
    </row>
    <row r="58" spans="1:29" ht="14.5" x14ac:dyDescent="0.35">
      <c r="A58" s="117">
        <v>7130352</v>
      </c>
      <c r="B58" s="80" t="s">
        <v>138</v>
      </c>
      <c r="C58" s="50" t="s">
        <v>3</v>
      </c>
      <c r="D58" s="5" t="s">
        <v>66</v>
      </c>
      <c r="E58" s="51" t="s">
        <v>67</v>
      </c>
      <c r="F58" s="55"/>
      <c r="G58" s="65" t="s">
        <v>69</v>
      </c>
      <c r="H58" s="66"/>
      <c r="I58" s="57"/>
      <c r="J58" s="92"/>
      <c r="K58" s="36">
        <v>0.40799999999999997</v>
      </c>
      <c r="L58" s="16">
        <v>2</v>
      </c>
      <c r="M58" s="17">
        <v>30</v>
      </c>
      <c r="N58" s="18">
        <f t="shared" si="13"/>
        <v>0</v>
      </c>
      <c r="O58" s="19">
        <f t="shared" si="18"/>
        <v>0</v>
      </c>
      <c r="P58" s="16">
        <v>13</v>
      </c>
      <c r="Q58" s="20">
        <v>390</v>
      </c>
      <c r="R58" s="21">
        <f t="shared" si="19"/>
        <v>0</v>
      </c>
      <c r="S58" s="19">
        <f t="shared" si="20"/>
        <v>0</v>
      </c>
      <c r="T58" s="78">
        <f t="shared" si="14"/>
        <v>0</v>
      </c>
      <c r="U58" s="145">
        <f t="shared" si="21"/>
        <v>0</v>
      </c>
      <c r="V58" s="141">
        <f t="shared" si="15"/>
        <v>0</v>
      </c>
      <c r="W58" s="41">
        <f t="shared" si="16"/>
        <v>0</v>
      </c>
      <c r="X58" s="41">
        <f t="shared" si="11"/>
        <v>0</v>
      </c>
      <c r="Y58" s="40">
        <v>1.02</v>
      </c>
      <c r="Z58" s="40">
        <f t="shared" si="22"/>
        <v>0</v>
      </c>
      <c r="AA58" s="40">
        <f t="shared" si="17"/>
        <v>0</v>
      </c>
      <c r="AB58" s="40">
        <f t="shared" si="23"/>
        <v>0</v>
      </c>
      <c r="AC58" s="133" t="str">
        <f t="shared" si="12"/>
        <v/>
      </c>
    </row>
    <row r="59" spans="1:29" ht="15" thickBot="1" x14ac:dyDescent="0.4">
      <c r="A59" s="118">
        <v>7130353</v>
      </c>
      <c r="B59" s="81" t="s">
        <v>139</v>
      </c>
      <c r="C59" s="52" t="s">
        <v>3</v>
      </c>
      <c r="D59" s="6" t="s">
        <v>66</v>
      </c>
      <c r="E59" s="53" t="s">
        <v>67</v>
      </c>
      <c r="F59" s="61"/>
      <c r="G59" s="84" t="s">
        <v>69</v>
      </c>
      <c r="H59" s="72"/>
      <c r="I59" s="62"/>
      <c r="J59" s="93"/>
      <c r="K59" s="37">
        <v>0.59299999999999997</v>
      </c>
      <c r="L59" s="27">
        <v>2</v>
      </c>
      <c r="M59" s="26">
        <v>30</v>
      </c>
      <c r="N59" s="22">
        <f t="shared" si="13"/>
        <v>0</v>
      </c>
      <c r="O59" s="23">
        <f t="shared" si="18"/>
        <v>0</v>
      </c>
      <c r="P59" s="27">
        <v>13</v>
      </c>
      <c r="Q59" s="24">
        <v>390</v>
      </c>
      <c r="R59" s="25">
        <f t="shared" si="19"/>
        <v>0</v>
      </c>
      <c r="S59" s="23">
        <f t="shared" si="20"/>
        <v>0</v>
      </c>
      <c r="T59" s="79">
        <f t="shared" si="14"/>
        <v>0</v>
      </c>
      <c r="U59" s="146">
        <f t="shared" si="21"/>
        <v>0</v>
      </c>
      <c r="V59" s="142">
        <f t="shared" si="15"/>
        <v>0</v>
      </c>
      <c r="W59" s="46">
        <f t="shared" si="16"/>
        <v>0</v>
      </c>
      <c r="X59" s="46">
        <f t="shared" si="11"/>
        <v>0</v>
      </c>
      <c r="Y59" s="47">
        <v>1.02</v>
      </c>
      <c r="Z59" s="47">
        <f t="shared" si="22"/>
        <v>0</v>
      </c>
      <c r="AA59" s="47">
        <f t="shared" si="17"/>
        <v>0</v>
      </c>
      <c r="AB59" s="47">
        <f t="shared" si="23"/>
        <v>0</v>
      </c>
      <c r="AC59" s="133" t="str">
        <f t="shared" si="12"/>
        <v/>
      </c>
    </row>
    <row r="60" spans="1:29" x14ac:dyDescent="0.3">
      <c r="A60" s="116">
        <v>7146312</v>
      </c>
      <c r="B60" s="85" t="s">
        <v>141</v>
      </c>
      <c r="C60" s="48" t="s">
        <v>0</v>
      </c>
      <c r="D60" s="4" t="s">
        <v>1</v>
      </c>
      <c r="E60" s="49" t="s">
        <v>67</v>
      </c>
      <c r="F60" s="59"/>
      <c r="G60" s="71"/>
      <c r="H60" s="71"/>
      <c r="I60" s="60"/>
      <c r="J60" s="91"/>
      <c r="K60" s="35">
        <v>0.19500000000000001</v>
      </c>
      <c r="L60" s="10">
        <v>24</v>
      </c>
      <c r="M60" s="11">
        <v>120</v>
      </c>
      <c r="N60" s="12">
        <f t="shared" si="13"/>
        <v>0</v>
      </c>
      <c r="O60" s="13">
        <f t="shared" si="18"/>
        <v>0</v>
      </c>
      <c r="P60" s="10">
        <v>12</v>
      </c>
      <c r="Q60" s="14">
        <v>1440</v>
      </c>
      <c r="R60" s="15">
        <f t="shared" si="19"/>
        <v>0</v>
      </c>
      <c r="S60" s="13">
        <f t="shared" si="20"/>
        <v>0</v>
      </c>
      <c r="T60" s="83">
        <f t="shared" si="14"/>
        <v>0</v>
      </c>
      <c r="U60" s="144">
        <f t="shared" si="21"/>
        <v>0</v>
      </c>
      <c r="V60" s="140">
        <f t="shared" si="15"/>
        <v>0</v>
      </c>
      <c r="W60" s="44">
        <f t="shared" si="16"/>
        <v>0</v>
      </c>
      <c r="X60" s="44">
        <f t="shared" si="11"/>
        <v>0</v>
      </c>
      <c r="Y60" s="45">
        <v>1.02</v>
      </c>
      <c r="Z60" s="45">
        <f t="shared" si="22"/>
        <v>0</v>
      </c>
      <c r="AA60" s="45">
        <f t="shared" si="17"/>
        <v>0</v>
      </c>
      <c r="AB60" s="45">
        <f t="shared" si="23"/>
        <v>0</v>
      </c>
      <c r="AC60" s="133" t="str">
        <f t="shared" si="12"/>
        <v/>
      </c>
    </row>
    <row r="61" spans="1:29" x14ac:dyDescent="0.3">
      <c r="A61" s="117">
        <v>7146313</v>
      </c>
      <c r="B61" s="80" t="s">
        <v>140</v>
      </c>
      <c r="C61" s="50" t="s">
        <v>0</v>
      </c>
      <c r="D61" s="5" t="s">
        <v>1</v>
      </c>
      <c r="E61" s="51" t="s">
        <v>67</v>
      </c>
      <c r="F61" s="56"/>
      <c r="G61" s="66"/>
      <c r="H61" s="66"/>
      <c r="I61" s="57"/>
      <c r="J61" s="92"/>
      <c r="K61" s="36">
        <v>0.26600000000000001</v>
      </c>
      <c r="L61" s="16">
        <v>10</v>
      </c>
      <c r="M61" s="17">
        <v>50</v>
      </c>
      <c r="N61" s="18">
        <f t="shared" si="13"/>
        <v>0</v>
      </c>
      <c r="O61" s="19">
        <f t="shared" si="18"/>
        <v>0</v>
      </c>
      <c r="P61" s="16">
        <v>20</v>
      </c>
      <c r="Q61" s="20">
        <v>1000</v>
      </c>
      <c r="R61" s="21">
        <f t="shared" si="19"/>
        <v>0</v>
      </c>
      <c r="S61" s="19">
        <f t="shared" si="20"/>
        <v>0</v>
      </c>
      <c r="T61" s="78">
        <f t="shared" si="14"/>
        <v>0</v>
      </c>
      <c r="U61" s="145">
        <f t="shared" si="21"/>
        <v>0</v>
      </c>
      <c r="V61" s="141">
        <f t="shared" si="15"/>
        <v>0</v>
      </c>
      <c r="W61" s="41">
        <f t="shared" si="16"/>
        <v>0</v>
      </c>
      <c r="X61" s="41">
        <f t="shared" si="11"/>
        <v>0</v>
      </c>
      <c r="Y61" s="40">
        <v>1.02</v>
      </c>
      <c r="Z61" s="40">
        <f t="shared" si="22"/>
        <v>0</v>
      </c>
      <c r="AA61" s="40">
        <f t="shared" si="17"/>
        <v>0</v>
      </c>
      <c r="AB61" s="40">
        <f t="shared" si="23"/>
        <v>0</v>
      </c>
      <c r="AC61" s="133" t="str">
        <f t="shared" si="12"/>
        <v/>
      </c>
    </row>
    <row r="62" spans="1:29" x14ac:dyDescent="0.3">
      <c r="A62" s="117">
        <v>7146314</v>
      </c>
      <c r="B62" s="80" t="s">
        <v>142</v>
      </c>
      <c r="C62" s="50" t="s">
        <v>0</v>
      </c>
      <c r="D62" s="5" t="s">
        <v>1</v>
      </c>
      <c r="E62" s="51" t="s">
        <v>67</v>
      </c>
      <c r="F62" s="56"/>
      <c r="G62" s="66"/>
      <c r="H62" s="66"/>
      <c r="I62" s="57"/>
      <c r="J62" s="92"/>
      <c r="K62" s="36">
        <v>0.33700000000000002</v>
      </c>
      <c r="L62" s="16">
        <v>10</v>
      </c>
      <c r="M62" s="17">
        <v>50</v>
      </c>
      <c r="N62" s="18">
        <f t="shared" si="13"/>
        <v>0</v>
      </c>
      <c r="O62" s="19">
        <f t="shared" si="18"/>
        <v>0</v>
      </c>
      <c r="P62" s="16">
        <v>12</v>
      </c>
      <c r="Q62" s="20">
        <v>600</v>
      </c>
      <c r="R62" s="21">
        <f t="shared" si="19"/>
        <v>0</v>
      </c>
      <c r="S62" s="19">
        <f t="shared" si="20"/>
        <v>0</v>
      </c>
      <c r="T62" s="78">
        <f t="shared" si="14"/>
        <v>0</v>
      </c>
      <c r="U62" s="145">
        <f t="shared" si="21"/>
        <v>0</v>
      </c>
      <c r="V62" s="141">
        <f t="shared" si="15"/>
        <v>0</v>
      </c>
      <c r="W62" s="41">
        <f t="shared" si="16"/>
        <v>0</v>
      </c>
      <c r="X62" s="41">
        <f t="shared" si="11"/>
        <v>0</v>
      </c>
      <c r="Y62" s="40">
        <v>1.02</v>
      </c>
      <c r="Z62" s="40">
        <f t="shared" si="22"/>
        <v>0</v>
      </c>
      <c r="AA62" s="40">
        <f t="shared" si="17"/>
        <v>0</v>
      </c>
      <c r="AB62" s="40">
        <f t="shared" si="23"/>
        <v>0</v>
      </c>
      <c r="AC62" s="133" t="str">
        <f t="shared" si="12"/>
        <v/>
      </c>
    </row>
    <row r="63" spans="1:29" x14ac:dyDescent="0.3">
      <c r="A63" s="117">
        <v>7146315</v>
      </c>
      <c r="B63" s="80" t="s">
        <v>143</v>
      </c>
      <c r="C63" s="50" t="s">
        <v>0</v>
      </c>
      <c r="D63" s="5" t="s">
        <v>1</v>
      </c>
      <c r="E63" s="51" t="s">
        <v>67</v>
      </c>
      <c r="F63" s="56"/>
      <c r="G63" s="66"/>
      <c r="H63" s="66"/>
      <c r="I63" s="57"/>
      <c r="J63" s="92"/>
      <c r="K63" s="36">
        <v>0.45700000000000002</v>
      </c>
      <c r="L63" s="16">
        <v>12</v>
      </c>
      <c r="M63" s="17">
        <v>60</v>
      </c>
      <c r="N63" s="18">
        <f t="shared" si="13"/>
        <v>0</v>
      </c>
      <c r="O63" s="19">
        <f t="shared" si="18"/>
        <v>0</v>
      </c>
      <c r="P63" s="16">
        <v>10</v>
      </c>
      <c r="Q63" s="20">
        <v>600</v>
      </c>
      <c r="R63" s="21">
        <f t="shared" si="19"/>
        <v>0</v>
      </c>
      <c r="S63" s="19">
        <f t="shared" si="20"/>
        <v>0</v>
      </c>
      <c r="T63" s="78">
        <f t="shared" si="14"/>
        <v>0</v>
      </c>
      <c r="U63" s="145">
        <f t="shared" si="21"/>
        <v>0</v>
      </c>
      <c r="V63" s="141">
        <f t="shared" si="15"/>
        <v>0</v>
      </c>
      <c r="W63" s="41">
        <f t="shared" si="16"/>
        <v>0</v>
      </c>
      <c r="X63" s="41">
        <f t="shared" si="11"/>
        <v>0</v>
      </c>
      <c r="Y63" s="40">
        <v>1.02</v>
      </c>
      <c r="Z63" s="40">
        <f t="shared" si="22"/>
        <v>0</v>
      </c>
      <c r="AA63" s="40">
        <f t="shared" si="17"/>
        <v>0</v>
      </c>
      <c r="AB63" s="40">
        <f t="shared" si="23"/>
        <v>0</v>
      </c>
      <c r="AC63" s="133" t="str">
        <f t="shared" si="12"/>
        <v/>
      </c>
    </row>
    <row r="64" spans="1:29" x14ac:dyDescent="0.3">
      <c r="A64" s="117">
        <v>7146316</v>
      </c>
      <c r="B64" s="80" t="s">
        <v>144</v>
      </c>
      <c r="C64" s="50" t="s">
        <v>0</v>
      </c>
      <c r="D64" s="5" t="s">
        <v>1</v>
      </c>
      <c r="E64" s="51" t="s">
        <v>67</v>
      </c>
      <c r="F64" s="56"/>
      <c r="G64" s="66"/>
      <c r="H64" s="66"/>
      <c r="I64" s="57"/>
      <c r="J64" s="92"/>
      <c r="K64" s="36">
        <v>0.59299999999999997</v>
      </c>
      <c r="L64" s="16">
        <v>10</v>
      </c>
      <c r="M64" s="17">
        <v>50</v>
      </c>
      <c r="N64" s="18">
        <f t="shared" si="13"/>
        <v>0</v>
      </c>
      <c r="O64" s="19">
        <f t="shared" si="18"/>
        <v>0</v>
      </c>
      <c r="P64" s="16">
        <v>12</v>
      </c>
      <c r="Q64" s="20">
        <v>600</v>
      </c>
      <c r="R64" s="21">
        <f t="shared" si="19"/>
        <v>0</v>
      </c>
      <c r="S64" s="19">
        <f t="shared" si="20"/>
        <v>0</v>
      </c>
      <c r="T64" s="78">
        <f t="shared" si="14"/>
        <v>0</v>
      </c>
      <c r="U64" s="145">
        <f t="shared" si="21"/>
        <v>0</v>
      </c>
      <c r="V64" s="141">
        <f t="shared" si="15"/>
        <v>0</v>
      </c>
      <c r="W64" s="41">
        <f t="shared" si="16"/>
        <v>0</v>
      </c>
      <c r="X64" s="41">
        <f t="shared" si="11"/>
        <v>0</v>
      </c>
      <c r="Y64" s="40">
        <v>1.02</v>
      </c>
      <c r="Z64" s="40">
        <f t="shared" si="22"/>
        <v>0</v>
      </c>
      <c r="AA64" s="40">
        <f t="shared" si="17"/>
        <v>0</v>
      </c>
      <c r="AB64" s="40">
        <f t="shared" si="23"/>
        <v>0</v>
      </c>
      <c r="AC64" s="133" t="str">
        <f t="shared" si="12"/>
        <v/>
      </c>
    </row>
    <row r="65" spans="1:29" x14ac:dyDescent="0.3">
      <c r="A65" s="117">
        <v>7146317</v>
      </c>
      <c r="B65" s="80" t="s">
        <v>145</v>
      </c>
      <c r="C65" s="50" t="s">
        <v>0</v>
      </c>
      <c r="D65" s="5" t="s">
        <v>1</v>
      </c>
      <c r="E65" s="51" t="s">
        <v>67</v>
      </c>
      <c r="F65" s="56"/>
      <c r="G65" s="66"/>
      <c r="H65" s="66"/>
      <c r="I65" s="57"/>
      <c r="J65" s="92"/>
      <c r="K65" s="36">
        <v>0.68200000000000005</v>
      </c>
      <c r="L65" s="16">
        <v>10</v>
      </c>
      <c r="M65" s="17">
        <v>50</v>
      </c>
      <c r="N65" s="18">
        <f t="shared" si="13"/>
        <v>0</v>
      </c>
      <c r="O65" s="19">
        <f t="shared" si="18"/>
        <v>0</v>
      </c>
      <c r="P65" s="16">
        <v>12</v>
      </c>
      <c r="Q65" s="20">
        <v>600</v>
      </c>
      <c r="R65" s="21">
        <f t="shared" si="19"/>
        <v>0</v>
      </c>
      <c r="S65" s="19">
        <f t="shared" si="20"/>
        <v>0</v>
      </c>
      <c r="T65" s="78">
        <f t="shared" si="14"/>
        <v>0</v>
      </c>
      <c r="U65" s="145">
        <f t="shared" si="21"/>
        <v>0</v>
      </c>
      <c r="V65" s="141">
        <f t="shared" si="15"/>
        <v>0</v>
      </c>
      <c r="W65" s="41">
        <f t="shared" si="16"/>
        <v>0</v>
      </c>
      <c r="X65" s="41">
        <f t="shared" si="11"/>
        <v>0</v>
      </c>
      <c r="Y65" s="40">
        <v>1.02</v>
      </c>
      <c r="Z65" s="40">
        <f t="shared" si="22"/>
        <v>0</v>
      </c>
      <c r="AA65" s="40">
        <f t="shared" si="17"/>
        <v>0</v>
      </c>
      <c r="AB65" s="40">
        <f t="shared" si="23"/>
        <v>0</v>
      </c>
      <c r="AC65" s="133" t="str">
        <f t="shared" si="12"/>
        <v/>
      </c>
    </row>
    <row r="66" spans="1:29" x14ac:dyDescent="0.3">
      <c r="A66" s="117">
        <v>7146318</v>
      </c>
      <c r="B66" s="80" t="s">
        <v>146</v>
      </c>
      <c r="C66" s="50" t="s">
        <v>0</v>
      </c>
      <c r="D66" s="5" t="s">
        <v>1</v>
      </c>
      <c r="E66" s="51" t="s">
        <v>67</v>
      </c>
      <c r="F66" s="56"/>
      <c r="G66" s="66"/>
      <c r="H66" s="66"/>
      <c r="I66" s="57"/>
      <c r="J66" s="92"/>
      <c r="K66" s="36">
        <v>0.68799999999999994</v>
      </c>
      <c r="L66" s="16">
        <v>10</v>
      </c>
      <c r="M66" s="17">
        <v>50</v>
      </c>
      <c r="N66" s="18">
        <f t="shared" si="13"/>
        <v>0</v>
      </c>
      <c r="O66" s="19">
        <f t="shared" si="18"/>
        <v>0</v>
      </c>
      <c r="P66" s="16">
        <v>9</v>
      </c>
      <c r="Q66" s="20">
        <v>450</v>
      </c>
      <c r="R66" s="21">
        <f t="shared" si="19"/>
        <v>0</v>
      </c>
      <c r="S66" s="19">
        <f t="shared" si="20"/>
        <v>0</v>
      </c>
      <c r="T66" s="78">
        <f t="shared" si="14"/>
        <v>0</v>
      </c>
      <c r="U66" s="145">
        <f t="shared" si="21"/>
        <v>0</v>
      </c>
      <c r="V66" s="141">
        <f t="shared" si="15"/>
        <v>0</v>
      </c>
      <c r="W66" s="41">
        <f t="shared" si="16"/>
        <v>0</v>
      </c>
      <c r="X66" s="41">
        <f t="shared" si="11"/>
        <v>0</v>
      </c>
      <c r="Y66" s="40">
        <v>1.02</v>
      </c>
      <c r="Z66" s="40">
        <f t="shared" si="22"/>
        <v>0</v>
      </c>
      <c r="AA66" s="40">
        <f t="shared" si="17"/>
        <v>0</v>
      </c>
      <c r="AB66" s="40">
        <f t="shared" si="23"/>
        <v>0</v>
      </c>
      <c r="AC66" s="133" t="str">
        <f t="shared" si="12"/>
        <v/>
      </c>
    </row>
    <row r="67" spans="1:29" x14ac:dyDescent="0.3">
      <c r="A67" s="117">
        <v>7146319</v>
      </c>
      <c r="B67" s="80" t="s">
        <v>147</v>
      </c>
      <c r="C67" s="50" t="s">
        <v>0</v>
      </c>
      <c r="D67" s="5" t="s">
        <v>1</v>
      </c>
      <c r="E67" s="51" t="s">
        <v>67</v>
      </c>
      <c r="F67" s="56"/>
      <c r="G67" s="66"/>
      <c r="H67" s="66"/>
      <c r="I67" s="57"/>
      <c r="J67" s="92"/>
      <c r="K67" s="36">
        <v>0.95399999999999996</v>
      </c>
      <c r="L67" s="16">
        <v>10</v>
      </c>
      <c r="M67" s="17">
        <v>50</v>
      </c>
      <c r="N67" s="18">
        <f t="shared" si="13"/>
        <v>0</v>
      </c>
      <c r="O67" s="19">
        <f t="shared" si="18"/>
        <v>0</v>
      </c>
      <c r="P67" s="16">
        <v>9</v>
      </c>
      <c r="Q67" s="20">
        <v>450</v>
      </c>
      <c r="R67" s="21">
        <f t="shared" si="19"/>
        <v>0</v>
      </c>
      <c r="S67" s="19">
        <f t="shared" si="20"/>
        <v>0</v>
      </c>
      <c r="T67" s="78">
        <f t="shared" si="14"/>
        <v>0</v>
      </c>
      <c r="U67" s="145">
        <f t="shared" si="21"/>
        <v>0</v>
      </c>
      <c r="V67" s="141">
        <f t="shared" si="15"/>
        <v>0</v>
      </c>
      <c r="W67" s="41">
        <f t="shared" si="16"/>
        <v>0</v>
      </c>
      <c r="X67" s="41">
        <f t="shared" si="11"/>
        <v>0</v>
      </c>
      <c r="Y67" s="40">
        <v>1.02</v>
      </c>
      <c r="Z67" s="40">
        <f t="shared" si="22"/>
        <v>0</v>
      </c>
      <c r="AA67" s="40">
        <f t="shared" si="17"/>
        <v>0</v>
      </c>
      <c r="AB67" s="40">
        <f t="shared" si="23"/>
        <v>0</v>
      </c>
      <c r="AC67" s="133" t="str">
        <f t="shared" si="12"/>
        <v/>
      </c>
    </row>
    <row r="68" spans="1:29" x14ac:dyDescent="0.3">
      <c r="A68" s="117">
        <v>7146320</v>
      </c>
      <c r="B68" s="80" t="s">
        <v>58</v>
      </c>
      <c r="C68" s="50" t="s">
        <v>0</v>
      </c>
      <c r="D68" s="5" t="s">
        <v>1</v>
      </c>
      <c r="E68" s="51" t="s">
        <v>67</v>
      </c>
      <c r="F68" s="56"/>
      <c r="G68" s="66"/>
      <c r="H68" s="66"/>
      <c r="I68" s="57"/>
      <c r="J68" s="92"/>
      <c r="K68" s="36">
        <v>1.1759999999999999</v>
      </c>
      <c r="L68" s="16">
        <v>5</v>
      </c>
      <c r="M68" s="17">
        <v>25</v>
      </c>
      <c r="N68" s="18">
        <f t="shared" si="13"/>
        <v>0</v>
      </c>
      <c r="O68" s="19">
        <f t="shared" si="18"/>
        <v>0</v>
      </c>
      <c r="P68" s="16">
        <v>9</v>
      </c>
      <c r="Q68" s="20">
        <v>225</v>
      </c>
      <c r="R68" s="21">
        <f t="shared" si="19"/>
        <v>0</v>
      </c>
      <c r="S68" s="19">
        <f t="shared" si="20"/>
        <v>0</v>
      </c>
      <c r="T68" s="78">
        <f t="shared" si="14"/>
        <v>0</v>
      </c>
      <c r="U68" s="145">
        <f t="shared" si="21"/>
        <v>0</v>
      </c>
      <c r="V68" s="141">
        <f t="shared" si="15"/>
        <v>0</v>
      </c>
      <c r="W68" s="41">
        <f t="shared" si="16"/>
        <v>0</v>
      </c>
      <c r="X68" s="41">
        <f t="shared" si="11"/>
        <v>0</v>
      </c>
      <c r="Y68" s="40">
        <v>1.02</v>
      </c>
      <c r="Z68" s="40">
        <f t="shared" si="22"/>
        <v>0</v>
      </c>
      <c r="AA68" s="40">
        <f t="shared" si="17"/>
        <v>0</v>
      </c>
      <c r="AB68" s="40">
        <f t="shared" si="23"/>
        <v>0</v>
      </c>
      <c r="AC68" s="133" t="str">
        <f t="shared" si="12"/>
        <v/>
      </c>
    </row>
    <row r="69" spans="1:29" x14ac:dyDescent="0.3">
      <c r="A69" s="117">
        <v>7146321</v>
      </c>
      <c r="B69" s="80" t="s">
        <v>59</v>
      </c>
      <c r="C69" s="50" t="s">
        <v>0</v>
      </c>
      <c r="D69" s="5" t="s">
        <v>1</v>
      </c>
      <c r="E69" s="51" t="s">
        <v>67</v>
      </c>
      <c r="F69" s="56"/>
      <c r="G69" s="66"/>
      <c r="H69" s="66"/>
      <c r="I69" s="57"/>
      <c r="J69" s="92"/>
      <c r="K69" s="36">
        <v>0.94799999999999995</v>
      </c>
      <c r="L69" s="16">
        <v>5</v>
      </c>
      <c r="M69" s="17">
        <v>25</v>
      </c>
      <c r="N69" s="18">
        <f t="shared" ref="N69:N85" si="24">ROUND((V69-R69)*Q69/M69,0)</f>
        <v>0</v>
      </c>
      <c r="O69" s="19">
        <f t="shared" si="18"/>
        <v>0</v>
      </c>
      <c r="P69" s="16">
        <v>9</v>
      </c>
      <c r="Q69" s="20">
        <v>225</v>
      </c>
      <c r="R69" s="21">
        <f t="shared" si="19"/>
        <v>0</v>
      </c>
      <c r="S69" s="19">
        <f t="shared" si="20"/>
        <v>0</v>
      </c>
      <c r="T69" s="78">
        <f t="shared" ref="T69:T85" si="25">K69*U69</f>
        <v>0</v>
      </c>
      <c r="U69" s="145">
        <f t="shared" si="21"/>
        <v>0</v>
      </c>
      <c r="V69" s="141">
        <f t="shared" ref="V69:V85" si="26">ROUND(J69/Q69,3)</f>
        <v>0</v>
      </c>
      <c r="W69" s="41">
        <f t="shared" ref="W69:W85" si="27">O69/Q69</f>
        <v>0</v>
      </c>
      <c r="X69" s="41">
        <f t="shared" si="11"/>
        <v>0</v>
      </c>
      <c r="Y69" s="40">
        <v>1.02</v>
      </c>
      <c r="Z69" s="40">
        <f t="shared" si="22"/>
        <v>0</v>
      </c>
      <c r="AA69" s="40">
        <f t="shared" ref="AA69:AA85" si="28">R69*Y69</f>
        <v>0</v>
      </c>
      <c r="AB69" s="40">
        <f t="shared" si="23"/>
        <v>0</v>
      </c>
      <c r="AC69" s="133" t="str">
        <f t="shared" si="12"/>
        <v/>
      </c>
    </row>
    <row r="70" spans="1:29" x14ac:dyDescent="0.3">
      <c r="A70" s="117">
        <v>7146322</v>
      </c>
      <c r="B70" s="80" t="s">
        <v>60</v>
      </c>
      <c r="C70" s="50" t="s">
        <v>0</v>
      </c>
      <c r="D70" s="5" t="s">
        <v>1</v>
      </c>
      <c r="E70" s="51" t="s">
        <v>67</v>
      </c>
      <c r="F70" s="56"/>
      <c r="G70" s="66"/>
      <c r="H70" s="66"/>
      <c r="I70" s="57"/>
      <c r="J70" s="92"/>
      <c r="K70" s="36">
        <v>1.3979999999999999</v>
      </c>
      <c r="L70" s="16">
        <v>5</v>
      </c>
      <c r="M70" s="17">
        <v>25</v>
      </c>
      <c r="N70" s="18">
        <f t="shared" si="24"/>
        <v>0</v>
      </c>
      <c r="O70" s="19">
        <f t="shared" si="18"/>
        <v>0</v>
      </c>
      <c r="P70" s="16">
        <v>9</v>
      </c>
      <c r="Q70" s="20">
        <v>225</v>
      </c>
      <c r="R70" s="21">
        <f t="shared" si="19"/>
        <v>0</v>
      </c>
      <c r="S70" s="19">
        <f t="shared" si="20"/>
        <v>0</v>
      </c>
      <c r="T70" s="78">
        <f t="shared" si="25"/>
        <v>0</v>
      </c>
      <c r="U70" s="145">
        <f t="shared" si="21"/>
        <v>0</v>
      </c>
      <c r="V70" s="141">
        <f t="shared" si="26"/>
        <v>0</v>
      </c>
      <c r="W70" s="41">
        <f t="shared" si="27"/>
        <v>0</v>
      </c>
      <c r="X70" s="41">
        <f t="shared" ref="X70:X85" si="29">IF(W70&gt;0,1,0)</f>
        <v>0</v>
      </c>
      <c r="Y70" s="40">
        <v>1.02</v>
      </c>
      <c r="Z70" s="40">
        <f t="shared" si="22"/>
        <v>0</v>
      </c>
      <c r="AA70" s="40">
        <f t="shared" si="28"/>
        <v>0</v>
      </c>
      <c r="AB70" s="40">
        <f t="shared" si="23"/>
        <v>0</v>
      </c>
      <c r="AC70" s="133" t="str">
        <f t="shared" ref="AC70:AC85" si="30">IF(U70&lt;J70,"Количество меньше вводимого!","")</f>
        <v/>
      </c>
    </row>
    <row r="71" spans="1:29" x14ac:dyDescent="0.3">
      <c r="A71" s="117">
        <v>7146323</v>
      </c>
      <c r="B71" s="80" t="s">
        <v>61</v>
      </c>
      <c r="C71" s="50" t="s">
        <v>0</v>
      </c>
      <c r="D71" s="5" t="s">
        <v>1</v>
      </c>
      <c r="E71" s="51" t="s">
        <v>67</v>
      </c>
      <c r="F71" s="56"/>
      <c r="G71" s="66"/>
      <c r="H71" s="66"/>
      <c r="I71" s="57"/>
      <c r="J71" s="92"/>
      <c r="K71" s="36">
        <v>1.125</v>
      </c>
      <c r="L71" s="16">
        <v>5</v>
      </c>
      <c r="M71" s="17">
        <v>25</v>
      </c>
      <c r="N71" s="18">
        <f t="shared" si="24"/>
        <v>0</v>
      </c>
      <c r="O71" s="19">
        <f t="shared" si="18"/>
        <v>0</v>
      </c>
      <c r="P71" s="16">
        <v>9</v>
      </c>
      <c r="Q71" s="20">
        <v>225</v>
      </c>
      <c r="R71" s="21">
        <f t="shared" si="19"/>
        <v>0</v>
      </c>
      <c r="S71" s="19">
        <f t="shared" si="20"/>
        <v>0</v>
      </c>
      <c r="T71" s="78">
        <f t="shared" si="25"/>
        <v>0</v>
      </c>
      <c r="U71" s="145">
        <f t="shared" si="21"/>
        <v>0</v>
      </c>
      <c r="V71" s="141">
        <f t="shared" si="26"/>
        <v>0</v>
      </c>
      <c r="W71" s="41">
        <f t="shared" si="27"/>
        <v>0</v>
      </c>
      <c r="X71" s="41">
        <f t="shared" si="29"/>
        <v>0</v>
      </c>
      <c r="Y71" s="40">
        <v>1.02</v>
      </c>
      <c r="Z71" s="40">
        <f t="shared" si="22"/>
        <v>0</v>
      </c>
      <c r="AA71" s="40">
        <f t="shared" si="28"/>
        <v>0</v>
      </c>
      <c r="AB71" s="40">
        <f t="shared" si="23"/>
        <v>0</v>
      </c>
      <c r="AC71" s="133" t="str">
        <f t="shared" si="30"/>
        <v/>
      </c>
    </row>
    <row r="72" spans="1:29" x14ac:dyDescent="0.3">
      <c r="A72" s="117">
        <v>7146324</v>
      </c>
      <c r="B72" s="80" t="s">
        <v>62</v>
      </c>
      <c r="C72" s="50" t="s">
        <v>0</v>
      </c>
      <c r="D72" s="5" t="s">
        <v>1</v>
      </c>
      <c r="E72" s="51" t="s">
        <v>67</v>
      </c>
      <c r="F72" s="56"/>
      <c r="G72" s="66"/>
      <c r="H72" s="66"/>
      <c r="I72" s="57"/>
      <c r="J72" s="92"/>
      <c r="K72" s="36">
        <v>1.77</v>
      </c>
      <c r="L72" s="16">
        <v>5</v>
      </c>
      <c r="M72" s="17">
        <v>25</v>
      </c>
      <c r="N72" s="18">
        <f t="shared" si="24"/>
        <v>0</v>
      </c>
      <c r="O72" s="19">
        <f t="shared" si="18"/>
        <v>0</v>
      </c>
      <c r="P72" s="16">
        <v>10</v>
      </c>
      <c r="Q72" s="20">
        <v>250</v>
      </c>
      <c r="R72" s="21">
        <f t="shared" si="19"/>
        <v>0</v>
      </c>
      <c r="S72" s="19">
        <f t="shared" si="20"/>
        <v>0</v>
      </c>
      <c r="T72" s="78">
        <f t="shared" si="25"/>
        <v>0</v>
      </c>
      <c r="U72" s="145">
        <f t="shared" si="21"/>
        <v>0</v>
      </c>
      <c r="V72" s="141">
        <f t="shared" si="26"/>
        <v>0</v>
      </c>
      <c r="W72" s="41">
        <f t="shared" si="27"/>
        <v>0</v>
      </c>
      <c r="X72" s="41">
        <f t="shared" si="29"/>
        <v>0</v>
      </c>
      <c r="Y72" s="40">
        <v>1.02</v>
      </c>
      <c r="Z72" s="40">
        <f t="shared" si="22"/>
        <v>0</v>
      </c>
      <c r="AA72" s="40">
        <f t="shared" si="28"/>
        <v>0</v>
      </c>
      <c r="AB72" s="40">
        <f t="shared" si="23"/>
        <v>0</v>
      </c>
      <c r="AC72" s="133" t="str">
        <f t="shared" si="30"/>
        <v/>
      </c>
    </row>
    <row r="73" spans="1:29" x14ac:dyDescent="0.3">
      <c r="A73" s="117">
        <v>7146325</v>
      </c>
      <c r="B73" s="80" t="s">
        <v>63</v>
      </c>
      <c r="C73" s="50" t="s">
        <v>0</v>
      </c>
      <c r="D73" s="5" t="s">
        <v>1</v>
      </c>
      <c r="E73" s="51" t="s">
        <v>67</v>
      </c>
      <c r="F73" s="56"/>
      <c r="G73" s="66"/>
      <c r="H73" s="66"/>
      <c r="I73" s="57"/>
      <c r="J73" s="92"/>
      <c r="K73" s="36">
        <v>2.9630000000000001</v>
      </c>
      <c r="L73" s="16">
        <v>2</v>
      </c>
      <c r="M73" s="17">
        <v>10</v>
      </c>
      <c r="N73" s="18">
        <f t="shared" si="24"/>
        <v>0</v>
      </c>
      <c r="O73" s="19">
        <f t="shared" si="18"/>
        <v>0</v>
      </c>
      <c r="P73" s="16">
        <v>10</v>
      </c>
      <c r="Q73" s="20">
        <v>100</v>
      </c>
      <c r="R73" s="21">
        <f t="shared" si="19"/>
        <v>0</v>
      </c>
      <c r="S73" s="19">
        <f t="shared" si="20"/>
        <v>0</v>
      </c>
      <c r="T73" s="78">
        <f t="shared" si="25"/>
        <v>0</v>
      </c>
      <c r="U73" s="145">
        <f t="shared" si="21"/>
        <v>0</v>
      </c>
      <c r="V73" s="141">
        <f t="shared" si="26"/>
        <v>0</v>
      </c>
      <c r="W73" s="41">
        <f t="shared" si="27"/>
        <v>0</v>
      </c>
      <c r="X73" s="41">
        <f t="shared" si="29"/>
        <v>0</v>
      </c>
      <c r="Y73" s="40">
        <v>1.02</v>
      </c>
      <c r="Z73" s="40">
        <f t="shared" si="22"/>
        <v>0</v>
      </c>
      <c r="AA73" s="40">
        <f t="shared" si="28"/>
        <v>0</v>
      </c>
      <c r="AB73" s="40">
        <f t="shared" si="23"/>
        <v>0</v>
      </c>
      <c r="AC73" s="133" t="str">
        <f t="shared" si="30"/>
        <v/>
      </c>
    </row>
    <row r="74" spans="1:29" x14ac:dyDescent="0.3">
      <c r="A74" s="117">
        <v>7146326</v>
      </c>
      <c r="B74" s="80" t="s">
        <v>64</v>
      </c>
      <c r="C74" s="50" t="s">
        <v>0</v>
      </c>
      <c r="D74" s="5" t="s">
        <v>1</v>
      </c>
      <c r="E74" s="51" t="s">
        <v>67</v>
      </c>
      <c r="F74" s="56"/>
      <c r="G74" s="66"/>
      <c r="H74" s="66"/>
      <c r="I74" s="57"/>
      <c r="J74" s="92"/>
      <c r="K74" s="36">
        <v>3.5419999999999998</v>
      </c>
      <c r="L74" s="16">
        <v>2</v>
      </c>
      <c r="M74" s="17">
        <v>10</v>
      </c>
      <c r="N74" s="18">
        <f t="shared" si="24"/>
        <v>0</v>
      </c>
      <c r="O74" s="19">
        <f t="shared" si="18"/>
        <v>0</v>
      </c>
      <c r="P74" s="16">
        <v>10</v>
      </c>
      <c r="Q74" s="20">
        <v>100</v>
      </c>
      <c r="R74" s="21">
        <f t="shared" si="19"/>
        <v>0</v>
      </c>
      <c r="S74" s="19">
        <f t="shared" si="20"/>
        <v>0</v>
      </c>
      <c r="T74" s="78">
        <f t="shared" si="25"/>
        <v>0</v>
      </c>
      <c r="U74" s="145">
        <f t="shared" si="21"/>
        <v>0</v>
      </c>
      <c r="V74" s="141">
        <f t="shared" si="26"/>
        <v>0</v>
      </c>
      <c r="W74" s="41">
        <f t="shared" si="27"/>
        <v>0</v>
      </c>
      <c r="X74" s="41">
        <f t="shared" si="29"/>
        <v>0</v>
      </c>
      <c r="Y74" s="40">
        <v>1.02</v>
      </c>
      <c r="Z74" s="40">
        <f t="shared" si="22"/>
        <v>0</v>
      </c>
      <c r="AA74" s="40">
        <f t="shared" si="28"/>
        <v>0</v>
      </c>
      <c r="AB74" s="40">
        <f t="shared" si="23"/>
        <v>0</v>
      </c>
      <c r="AC74" s="133" t="str">
        <f t="shared" si="30"/>
        <v/>
      </c>
    </row>
    <row r="75" spans="1:29" ht="14.5" thickBot="1" x14ac:dyDescent="0.35">
      <c r="A75" s="118">
        <v>7146327</v>
      </c>
      <c r="B75" s="81" t="s">
        <v>65</v>
      </c>
      <c r="C75" s="52" t="s">
        <v>0</v>
      </c>
      <c r="D75" s="6" t="s">
        <v>1</v>
      </c>
      <c r="E75" s="53" t="s">
        <v>67</v>
      </c>
      <c r="F75" s="64"/>
      <c r="G75" s="72"/>
      <c r="H75" s="72"/>
      <c r="I75" s="62"/>
      <c r="J75" s="93"/>
      <c r="K75" s="37">
        <v>5.109</v>
      </c>
      <c r="L75" s="27">
        <v>1</v>
      </c>
      <c r="M75" s="26">
        <v>5</v>
      </c>
      <c r="N75" s="22">
        <f t="shared" si="24"/>
        <v>0</v>
      </c>
      <c r="O75" s="23">
        <f t="shared" si="18"/>
        <v>0</v>
      </c>
      <c r="P75" s="27">
        <v>5</v>
      </c>
      <c r="Q75" s="24">
        <v>25</v>
      </c>
      <c r="R75" s="25">
        <f t="shared" si="19"/>
        <v>0</v>
      </c>
      <c r="S75" s="23">
        <f t="shared" si="20"/>
        <v>0</v>
      </c>
      <c r="T75" s="79">
        <f t="shared" si="25"/>
        <v>0</v>
      </c>
      <c r="U75" s="146">
        <f t="shared" si="21"/>
        <v>0</v>
      </c>
      <c r="V75" s="142">
        <f t="shared" si="26"/>
        <v>0</v>
      </c>
      <c r="W75" s="46">
        <f t="shared" si="27"/>
        <v>0</v>
      </c>
      <c r="X75" s="46">
        <f t="shared" si="29"/>
        <v>0</v>
      </c>
      <c r="Y75" s="47">
        <v>1.02</v>
      </c>
      <c r="Z75" s="47">
        <f t="shared" si="22"/>
        <v>0</v>
      </c>
      <c r="AA75" s="47">
        <f t="shared" si="28"/>
        <v>0</v>
      </c>
      <c r="AB75" s="47">
        <f t="shared" si="23"/>
        <v>0</v>
      </c>
      <c r="AC75" s="133" t="str">
        <f t="shared" si="30"/>
        <v/>
      </c>
    </row>
    <row r="76" spans="1:29" x14ac:dyDescent="0.3">
      <c r="A76" s="116">
        <v>7500412</v>
      </c>
      <c r="B76" s="85" t="s">
        <v>48</v>
      </c>
      <c r="C76" s="48" t="s">
        <v>0</v>
      </c>
      <c r="D76" s="4" t="s">
        <v>1</v>
      </c>
      <c r="E76" s="49" t="s">
        <v>68</v>
      </c>
      <c r="F76" s="59"/>
      <c r="G76" s="71"/>
      <c r="H76" s="71"/>
      <c r="I76" s="60"/>
      <c r="J76" s="91"/>
      <c r="K76" s="35">
        <v>0.17499999999999999</v>
      </c>
      <c r="L76" s="10">
        <v>22</v>
      </c>
      <c r="M76" s="11">
        <v>110</v>
      </c>
      <c r="N76" s="12">
        <f t="shared" si="24"/>
        <v>0</v>
      </c>
      <c r="O76" s="13">
        <f t="shared" si="18"/>
        <v>0</v>
      </c>
      <c r="P76" s="10">
        <v>20</v>
      </c>
      <c r="Q76" s="14">
        <v>2200</v>
      </c>
      <c r="R76" s="15">
        <f t="shared" si="19"/>
        <v>0</v>
      </c>
      <c r="S76" s="13">
        <f t="shared" si="20"/>
        <v>0</v>
      </c>
      <c r="T76" s="83">
        <f t="shared" si="25"/>
        <v>0</v>
      </c>
      <c r="U76" s="144">
        <f t="shared" si="21"/>
        <v>0</v>
      </c>
      <c r="V76" s="140">
        <f t="shared" si="26"/>
        <v>0</v>
      </c>
      <c r="W76" s="44">
        <f t="shared" si="27"/>
        <v>0</v>
      </c>
      <c r="X76" s="44">
        <f t="shared" si="29"/>
        <v>0</v>
      </c>
      <c r="Y76" s="45">
        <v>1.02</v>
      </c>
      <c r="Z76" s="45">
        <f t="shared" si="22"/>
        <v>0</v>
      </c>
      <c r="AA76" s="45">
        <f t="shared" si="28"/>
        <v>0</v>
      </c>
      <c r="AB76" s="45">
        <f t="shared" si="23"/>
        <v>0</v>
      </c>
      <c r="AC76" s="133" t="str">
        <f t="shared" si="30"/>
        <v/>
      </c>
    </row>
    <row r="77" spans="1:29" x14ac:dyDescent="0.3">
      <c r="A77" s="117">
        <v>7500416</v>
      </c>
      <c r="B77" s="80" t="s">
        <v>49</v>
      </c>
      <c r="C77" s="50" t="s">
        <v>0</v>
      </c>
      <c r="D77" s="5" t="s">
        <v>1</v>
      </c>
      <c r="E77" s="51" t="s">
        <v>68</v>
      </c>
      <c r="F77" s="56"/>
      <c r="G77" s="66"/>
      <c r="H77" s="66"/>
      <c r="I77" s="57"/>
      <c r="J77" s="92"/>
      <c r="K77" s="36">
        <v>0.30599999999999999</v>
      </c>
      <c r="L77" s="16">
        <v>12</v>
      </c>
      <c r="M77" s="17">
        <v>60</v>
      </c>
      <c r="N77" s="18">
        <f t="shared" si="24"/>
        <v>0</v>
      </c>
      <c r="O77" s="19">
        <f t="shared" si="18"/>
        <v>0</v>
      </c>
      <c r="P77" s="16">
        <v>20</v>
      </c>
      <c r="Q77" s="20">
        <v>1200</v>
      </c>
      <c r="R77" s="21">
        <f t="shared" si="19"/>
        <v>0</v>
      </c>
      <c r="S77" s="19">
        <f t="shared" si="20"/>
        <v>0</v>
      </c>
      <c r="T77" s="78">
        <f t="shared" si="25"/>
        <v>0</v>
      </c>
      <c r="U77" s="145">
        <f t="shared" si="21"/>
        <v>0</v>
      </c>
      <c r="V77" s="141">
        <f t="shared" si="26"/>
        <v>0</v>
      </c>
      <c r="W77" s="41">
        <f t="shared" si="27"/>
        <v>0</v>
      </c>
      <c r="X77" s="41">
        <f t="shared" si="29"/>
        <v>0</v>
      </c>
      <c r="Y77" s="40">
        <v>1.02</v>
      </c>
      <c r="Z77" s="40">
        <f t="shared" si="22"/>
        <v>0</v>
      </c>
      <c r="AA77" s="40">
        <f t="shared" si="28"/>
        <v>0</v>
      </c>
      <c r="AB77" s="40">
        <f t="shared" si="23"/>
        <v>0</v>
      </c>
      <c r="AC77" s="133" t="str">
        <f t="shared" si="30"/>
        <v/>
      </c>
    </row>
    <row r="78" spans="1:29" x14ac:dyDescent="0.3">
      <c r="A78" s="117">
        <v>7500414</v>
      </c>
      <c r="B78" s="80" t="s">
        <v>50</v>
      </c>
      <c r="C78" s="50" t="s">
        <v>3</v>
      </c>
      <c r="D78" s="5" t="s">
        <v>1</v>
      </c>
      <c r="E78" s="51" t="s">
        <v>68</v>
      </c>
      <c r="F78" s="56"/>
      <c r="G78" s="66"/>
      <c r="H78" s="66"/>
      <c r="I78" s="57"/>
      <c r="J78" s="92"/>
      <c r="K78" s="36">
        <v>0.47399999999999998</v>
      </c>
      <c r="L78" s="16">
        <v>9</v>
      </c>
      <c r="M78" s="17">
        <v>45</v>
      </c>
      <c r="N78" s="18">
        <f t="shared" si="24"/>
        <v>0</v>
      </c>
      <c r="O78" s="19">
        <f t="shared" si="18"/>
        <v>0</v>
      </c>
      <c r="P78" s="16">
        <v>20</v>
      </c>
      <c r="Q78" s="20">
        <v>900</v>
      </c>
      <c r="R78" s="21">
        <f t="shared" si="19"/>
        <v>0</v>
      </c>
      <c r="S78" s="19">
        <f t="shared" si="20"/>
        <v>0</v>
      </c>
      <c r="T78" s="78">
        <f t="shared" si="25"/>
        <v>0</v>
      </c>
      <c r="U78" s="145">
        <f t="shared" si="21"/>
        <v>0</v>
      </c>
      <c r="V78" s="141">
        <f t="shared" si="26"/>
        <v>0</v>
      </c>
      <c r="W78" s="41">
        <f t="shared" si="27"/>
        <v>0</v>
      </c>
      <c r="X78" s="41">
        <f t="shared" si="29"/>
        <v>0</v>
      </c>
      <c r="Y78" s="40">
        <v>1.02</v>
      </c>
      <c r="Z78" s="40">
        <f t="shared" si="22"/>
        <v>0</v>
      </c>
      <c r="AA78" s="40">
        <f t="shared" si="28"/>
        <v>0</v>
      </c>
      <c r="AB78" s="40">
        <f t="shared" si="23"/>
        <v>0</v>
      </c>
      <c r="AC78" s="133" t="str">
        <f t="shared" si="30"/>
        <v/>
      </c>
    </row>
    <row r="79" spans="1:29" x14ac:dyDescent="0.3">
      <c r="A79" s="117">
        <v>7500417</v>
      </c>
      <c r="B79" s="80" t="s">
        <v>51</v>
      </c>
      <c r="C79" s="50" t="s">
        <v>3</v>
      </c>
      <c r="D79" s="5" t="s">
        <v>1</v>
      </c>
      <c r="E79" s="51" t="s">
        <v>68</v>
      </c>
      <c r="F79" s="56"/>
      <c r="G79" s="66"/>
      <c r="H79" s="66"/>
      <c r="I79" s="57"/>
      <c r="J79" s="92"/>
      <c r="K79" s="36">
        <v>0.68200000000000005</v>
      </c>
      <c r="L79" s="16">
        <v>9</v>
      </c>
      <c r="M79" s="17">
        <v>45</v>
      </c>
      <c r="N79" s="18">
        <f t="shared" si="24"/>
        <v>0</v>
      </c>
      <c r="O79" s="19">
        <f t="shared" si="18"/>
        <v>0</v>
      </c>
      <c r="P79" s="16">
        <v>12</v>
      </c>
      <c r="Q79" s="20">
        <v>540</v>
      </c>
      <c r="R79" s="21">
        <f t="shared" si="19"/>
        <v>0</v>
      </c>
      <c r="S79" s="19">
        <f t="shared" si="20"/>
        <v>0</v>
      </c>
      <c r="T79" s="78">
        <f t="shared" si="25"/>
        <v>0</v>
      </c>
      <c r="U79" s="145">
        <f t="shared" si="21"/>
        <v>0</v>
      </c>
      <c r="V79" s="141">
        <f t="shared" si="26"/>
        <v>0</v>
      </c>
      <c r="W79" s="41">
        <f t="shared" si="27"/>
        <v>0</v>
      </c>
      <c r="X79" s="41">
        <f t="shared" si="29"/>
        <v>0</v>
      </c>
      <c r="Y79" s="40">
        <v>1.02</v>
      </c>
      <c r="Z79" s="40">
        <f t="shared" si="22"/>
        <v>0</v>
      </c>
      <c r="AA79" s="40">
        <f t="shared" si="28"/>
        <v>0</v>
      </c>
      <c r="AB79" s="40">
        <f t="shared" si="23"/>
        <v>0</v>
      </c>
      <c r="AC79" s="133" t="str">
        <f t="shared" si="30"/>
        <v/>
      </c>
    </row>
    <row r="80" spans="1:29" x14ac:dyDescent="0.3">
      <c r="A80" s="117">
        <v>7500418</v>
      </c>
      <c r="B80" s="80" t="s">
        <v>52</v>
      </c>
      <c r="C80" s="50" t="s">
        <v>3</v>
      </c>
      <c r="D80" s="5" t="s">
        <v>1</v>
      </c>
      <c r="E80" s="51" t="s">
        <v>68</v>
      </c>
      <c r="F80" s="56"/>
      <c r="G80" s="66"/>
      <c r="H80" s="66"/>
      <c r="I80" s="57"/>
      <c r="J80" s="92"/>
      <c r="K80" s="36">
        <v>0.92300000000000004</v>
      </c>
      <c r="L80" s="16">
        <v>5</v>
      </c>
      <c r="M80" s="17">
        <v>25</v>
      </c>
      <c r="N80" s="18">
        <f t="shared" si="24"/>
        <v>0</v>
      </c>
      <c r="O80" s="19">
        <f t="shared" si="18"/>
        <v>0</v>
      </c>
      <c r="P80" s="16">
        <v>16</v>
      </c>
      <c r="Q80" s="20">
        <v>400</v>
      </c>
      <c r="R80" s="21">
        <f t="shared" si="19"/>
        <v>0</v>
      </c>
      <c r="S80" s="19">
        <f t="shared" si="20"/>
        <v>0</v>
      </c>
      <c r="T80" s="78">
        <f t="shared" si="25"/>
        <v>0</v>
      </c>
      <c r="U80" s="145">
        <f t="shared" si="21"/>
        <v>0</v>
      </c>
      <c r="V80" s="141">
        <f t="shared" si="26"/>
        <v>0</v>
      </c>
      <c r="W80" s="41">
        <f t="shared" si="27"/>
        <v>0</v>
      </c>
      <c r="X80" s="41">
        <f t="shared" si="29"/>
        <v>0</v>
      </c>
      <c r="Y80" s="40">
        <v>1.02</v>
      </c>
      <c r="Z80" s="40">
        <f t="shared" si="22"/>
        <v>0</v>
      </c>
      <c r="AA80" s="40">
        <f t="shared" si="28"/>
        <v>0</v>
      </c>
      <c r="AB80" s="40">
        <f t="shared" si="23"/>
        <v>0</v>
      </c>
      <c r="AC80" s="133" t="str">
        <f t="shared" si="30"/>
        <v/>
      </c>
    </row>
    <row r="81" spans="1:29" x14ac:dyDescent="0.3">
      <c r="A81" s="117">
        <v>7500419</v>
      </c>
      <c r="B81" s="80" t="s">
        <v>53</v>
      </c>
      <c r="C81" s="50" t="s">
        <v>3</v>
      </c>
      <c r="D81" s="5" t="s">
        <v>1</v>
      </c>
      <c r="E81" s="51" t="s">
        <v>68</v>
      </c>
      <c r="F81" s="56"/>
      <c r="G81" s="66"/>
      <c r="H81" s="66"/>
      <c r="I81" s="57"/>
      <c r="J81" s="92"/>
      <c r="K81" s="36">
        <v>1.52</v>
      </c>
      <c r="L81" s="16">
        <v>5</v>
      </c>
      <c r="M81" s="17">
        <v>25</v>
      </c>
      <c r="N81" s="18">
        <f t="shared" si="24"/>
        <v>0</v>
      </c>
      <c r="O81" s="19">
        <f t="shared" si="18"/>
        <v>0</v>
      </c>
      <c r="P81" s="16">
        <v>9</v>
      </c>
      <c r="Q81" s="20">
        <v>225</v>
      </c>
      <c r="R81" s="21">
        <f t="shared" si="19"/>
        <v>0</v>
      </c>
      <c r="S81" s="19">
        <f t="shared" si="20"/>
        <v>0</v>
      </c>
      <c r="T81" s="78">
        <f t="shared" si="25"/>
        <v>0</v>
      </c>
      <c r="U81" s="145">
        <f t="shared" si="21"/>
        <v>0</v>
      </c>
      <c r="V81" s="141">
        <f t="shared" si="26"/>
        <v>0</v>
      </c>
      <c r="W81" s="41">
        <f t="shared" si="27"/>
        <v>0</v>
      </c>
      <c r="X81" s="41">
        <f t="shared" si="29"/>
        <v>0</v>
      </c>
      <c r="Y81" s="40">
        <v>1.02</v>
      </c>
      <c r="Z81" s="40">
        <f t="shared" si="22"/>
        <v>0</v>
      </c>
      <c r="AA81" s="40">
        <f t="shared" si="28"/>
        <v>0</v>
      </c>
      <c r="AB81" s="40">
        <f t="shared" si="23"/>
        <v>0</v>
      </c>
      <c r="AC81" s="133" t="str">
        <f t="shared" si="30"/>
        <v/>
      </c>
    </row>
    <row r="82" spans="1:29" x14ac:dyDescent="0.3">
      <c r="A82" s="117">
        <v>7500421</v>
      </c>
      <c r="B82" s="80" t="s">
        <v>54</v>
      </c>
      <c r="C82" s="50" t="s">
        <v>3</v>
      </c>
      <c r="D82" s="5" t="s">
        <v>1</v>
      </c>
      <c r="E82" s="51" t="s">
        <v>68</v>
      </c>
      <c r="F82" s="56"/>
      <c r="G82" s="66"/>
      <c r="H82" s="66"/>
      <c r="I82" s="57"/>
      <c r="J82" s="92"/>
      <c r="K82" s="36">
        <v>2.2829999999999999</v>
      </c>
      <c r="L82" s="16">
        <v>3</v>
      </c>
      <c r="M82" s="17">
        <v>15</v>
      </c>
      <c r="N82" s="18">
        <f t="shared" si="24"/>
        <v>0</v>
      </c>
      <c r="O82" s="19">
        <f t="shared" si="18"/>
        <v>0</v>
      </c>
      <c r="P82" s="16">
        <v>12</v>
      </c>
      <c r="Q82" s="20">
        <v>180</v>
      </c>
      <c r="R82" s="21">
        <f t="shared" si="19"/>
        <v>0</v>
      </c>
      <c r="S82" s="19">
        <f t="shared" si="20"/>
        <v>0</v>
      </c>
      <c r="T82" s="78">
        <f t="shared" si="25"/>
        <v>0</v>
      </c>
      <c r="U82" s="145">
        <f t="shared" si="21"/>
        <v>0</v>
      </c>
      <c r="V82" s="141">
        <f t="shared" si="26"/>
        <v>0</v>
      </c>
      <c r="W82" s="41">
        <f t="shared" si="27"/>
        <v>0</v>
      </c>
      <c r="X82" s="41">
        <f t="shared" si="29"/>
        <v>0</v>
      </c>
      <c r="Y82" s="40">
        <v>1.02</v>
      </c>
      <c r="Z82" s="40">
        <f t="shared" si="22"/>
        <v>0</v>
      </c>
      <c r="AA82" s="40">
        <f t="shared" si="28"/>
        <v>0</v>
      </c>
      <c r="AB82" s="40">
        <f t="shared" si="23"/>
        <v>0</v>
      </c>
      <c r="AC82" s="133" t="str">
        <f t="shared" si="30"/>
        <v/>
      </c>
    </row>
    <row r="83" spans="1:29" x14ac:dyDescent="0.3">
      <c r="A83" s="117">
        <v>7500422</v>
      </c>
      <c r="B83" s="80" t="s">
        <v>55</v>
      </c>
      <c r="C83" s="50" t="s">
        <v>3</v>
      </c>
      <c r="D83" s="5" t="s">
        <v>1</v>
      </c>
      <c r="E83" s="51" t="s">
        <v>68</v>
      </c>
      <c r="F83" s="56"/>
      <c r="G83" s="66"/>
      <c r="H83" s="66"/>
      <c r="I83" s="57"/>
      <c r="J83" s="92"/>
      <c r="K83" s="36">
        <v>3.1110000000000002</v>
      </c>
      <c r="L83" s="16">
        <v>2</v>
      </c>
      <c r="M83" s="17">
        <v>10</v>
      </c>
      <c r="N83" s="18">
        <f t="shared" si="24"/>
        <v>0</v>
      </c>
      <c r="O83" s="19">
        <f t="shared" si="18"/>
        <v>0</v>
      </c>
      <c r="P83" s="16">
        <v>12</v>
      </c>
      <c r="Q83" s="20">
        <v>120</v>
      </c>
      <c r="R83" s="21">
        <f t="shared" si="19"/>
        <v>0</v>
      </c>
      <c r="S83" s="19">
        <f t="shared" si="20"/>
        <v>0</v>
      </c>
      <c r="T83" s="78">
        <f t="shared" si="25"/>
        <v>0</v>
      </c>
      <c r="U83" s="145">
        <f t="shared" si="21"/>
        <v>0</v>
      </c>
      <c r="V83" s="141">
        <f t="shared" si="26"/>
        <v>0</v>
      </c>
      <c r="W83" s="41">
        <f t="shared" si="27"/>
        <v>0</v>
      </c>
      <c r="X83" s="41">
        <f t="shared" si="29"/>
        <v>0</v>
      </c>
      <c r="Y83" s="40">
        <v>1.02</v>
      </c>
      <c r="Z83" s="40">
        <f t="shared" si="22"/>
        <v>0</v>
      </c>
      <c r="AA83" s="40">
        <f t="shared" si="28"/>
        <v>0</v>
      </c>
      <c r="AB83" s="40">
        <f t="shared" si="23"/>
        <v>0</v>
      </c>
      <c r="AC83" s="133" t="str">
        <f t="shared" si="30"/>
        <v/>
      </c>
    </row>
    <row r="84" spans="1:29" x14ac:dyDescent="0.3">
      <c r="A84" s="117">
        <v>7500424</v>
      </c>
      <c r="B84" s="80" t="s">
        <v>56</v>
      </c>
      <c r="C84" s="50" t="s">
        <v>3</v>
      </c>
      <c r="D84" s="5" t="s">
        <v>1</v>
      </c>
      <c r="E84" s="51" t="s">
        <v>68</v>
      </c>
      <c r="F84" s="56"/>
      <c r="G84" s="66"/>
      <c r="H84" s="66"/>
      <c r="I84" s="57"/>
      <c r="J84" s="92"/>
      <c r="K84" s="36">
        <v>5.3179999999999996</v>
      </c>
      <c r="L84" s="16">
        <v>2</v>
      </c>
      <c r="M84" s="17">
        <v>10</v>
      </c>
      <c r="N84" s="18">
        <f t="shared" si="24"/>
        <v>0</v>
      </c>
      <c r="O84" s="19">
        <f t="shared" si="18"/>
        <v>0</v>
      </c>
      <c r="P84" s="16">
        <v>5</v>
      </c>
      <c r="Q84" s="20">
        <v>50</v>
      </c>
      <c r="R84" s="21">
        <f t="shared" si="19"/>
        <v>0</v>
      </c>
      <c r="S84" s="19">
        <f t="shared" si="20"/>
        <v>0</v>
      </c>
      <c r="T84" s="78">
        <f t="shared" si="25"/>
        <v>0</v>
      </c>
      <c r="U84" s="145">
        <f t="shared" si="21"/>
        <v>0</v>
      </c>
      <c r="V84" s="141">
        <f t="shared" si="26"/>
        <v>0</v>
      </c>
      <c r="W84" s="41">
        <f t="shared" si="27"/>
        <v>0</v>
      </c>
      <c r="X84" s="41">
        <f t="shared" si="29"/>
        <v>0</v>
      </c>
      <c r="Y84" s="40">
        <v>1.02</v>
      </c>
      <c r="Z84" s="40">
        <f t="shared" si="22"/>
        <v>0</v>
      </c>
      <c r="AA84" s="40">
        <f t="shared" si="28"/>
        <v>0</v>
      </c>
      <c r="AB84" s="40">
        <f t="shared" si="23"/>
        <v>0</v>
      </c>
      <c r="AC84" s="133" t="str">
        <f t="shared" si="30"/>
        <v/>
      </c>
    </row>
    <row r="85" spans="1:29" ht="14.5" thickBot="1" x14ac:dyDescent="0.35">
      <c r="A85" s="118">
        <v>7500425</v>
      </c>
      <c r="B85" s="81" t="s">
        <v>57</v>
      </c>
      <c r="C85" s="52" t="s">
        <v>3</v>
      </c>
      <c r="D85" s="6" t="s">
        <v>1</v>
      </c>
      <c r="E85" s="53" t="s">
        <v>68</v>
      </c>
      <c r="F85" s="64"/>
      <c r="G85" s="72"/>
      <c r="H85" s="72"/>
      <c r="I85" s="62"/>
      <c r="J85" s="93"/>
      <c r="K85" s="37">
        <v>8.1129999999999995</v>
      </c>
      <c r="L85" s="27">
        <v>1</v>
      </c>
      <c r="M85" s="26">
        <v>3</v>
      </c>
      <c r="N85" s="22">
        <f t="shared" si="24"/>
        <v>0</v>
      </c>
      <c r="O85" s="23">
        <f t="shared" si="18"/>
        <v>0</v>
      </c>
      <c r="P85" s="27">
        <v>5</v>
      </c>
      <c r="Q85" s="24">
        <v>15</v>
      </c>
      <c r="R85" s="25">
        <f t="shared" si="19"/>
        <v>0</v>
      </c>
      <c r="S85" s="23">
        <f t="shared" si="20"/>
        <v>0</v>
      </c>
      <c r="T85" s="79">
        <f t="shared" si="25"/>
        <v>0</v>
      </c>
      <c r="U85" s="146">
        <f t="shared" si="21"/>
        <v>0</v>
      </c>
      <c r="V85" s="142">
        <f t="shared" si="26"/>
        <v>0</v>
      </c>
      <c r="W85" s="46">
        <f t="shared" si="27"/>
        <v>0</v>
      </c>
      <c r="X85" s="46">
        <f t="shared" si="29"/>
        <v>0</v>
      </c>
      <c r="Y85" s="47">
        <v>1.02</v>
      </c>
      <c r="Z85" s="47">
        <f t="shared" si="22"/>
        <v>0</v>
      </c>
      <c r="AA85" s="47">
        <f t="shared" si="28"/>
        <v>0</v>
      </c>
      <c r="AB85" s="47">
        <f t="shared" si="23"/>
        <v>0</v>
      </c>
      <c r="AC85" s="133" t="str">
        <f t="shared" si="30"/>
        <v/>
      </c>
    </row>
    <row r="86" spans="1:29" ht="14.5" thickBot="1" x14ac:dyDescent="0.35">
      <c r="A86" s="113" t="s">
        <v>10</v>
      </c>
      <c r="B86" s="114" t="s">
        <v>11</v>
      </c>
      <c r="C86" s="86"/>
      <c r="D86" s="86"/>
      <c r="E86" s="86"/>
      <c r="F86" s="86"/>
      <c r="G86" s="86"/>
      <c r="H86" s="86"/>
      <c r="I86" s="86"/>
      <c r="J86" s="115">
        <v>0</v>
      </c>
      <c r="K86" s="54"/>
      <c r="L86" s="86"/>
      <c r="M86" s="86"/>
      <c r="N86" s="86"/>
      <c r="O86" s="86"/>
      <c r="P86" s="86"/>
      <c r="Q86" s="87"/>
      <c r="R86" s="86"/>
      <c r="S86" s="86"/>
      <c r="T86" s="88">
        <f>SUM(T5:T85)</f>
        <v>0</v>
      </c>
      <c r="U86" s="86"/>
      <c r="V86" s="54"/>
      <c r="W86" s="54"/>
      <c r="X86" s="54"/>
      <c r="Y86" s="54"/>
      <c r="Z86" s="54"/>
      <c r="AA86" s="54"/>
      <c r="AB86" s="54"/>
    </row>
    <row r="87" spans="1:29" x14ac:dyDescent="0.3">
      <c r="A87" s="105"/>
      <c r="B87" s="106"/>
      <c r="J87" s="33">
        <v>0</v>
      </c>
      <c r="K87" s="108" t="s">
        <v>82</v>
      </c>
      <c r="L87" s="42"/>
      <c r="M87" s="109"/>
      <c r="N87" s="110" t="s">
        <v>76</v>
      </c>
      <c r="O87" s="42"/>
      <c r="P87" s="112" t="s">
        <v>85</v>
      </c>
      <c r="Q87" s="31"/>
      <c r="R87" s="30"/>
      <c r="S87" s="29"/>
      <c r="T87" s="32"/>
      <c r="U87" s="29"/>
    </row>
    <row r="88" spans="1:29" x14ac:dyDescent="0.3">
      <c r="A88" s="106" t="s">
        <v>72</v>
      </c>
      <c r="B88" s="106"/>
      <c r="J88" s="33">
        <v>0</v>
      </c>
      <c r="K88" s="108" t="s">
        <v>83</v>
      </c>
      <c r="L88" s="42"/>
      <c r="M88" s="109"/>
      <c r="N88" s="111" t="s">
        <v>75</v>
      </c>
      <c r="O88" s="42"/>
      <c r="P88" s="112" t="s">
        <v>84</v>
      </c>
      <c r="Q88" s="31"/>
      <c r="R88" s="30"/>
      <c r="S88" s="29"/>
      <c r="T88" s="32"/>
      <c r="U88" s="29"/>
    </row>
    <row r="89" spans="1:29" x14ac:dyDescent="0.3">
      <c r="A89" s="106" t="s">
        <v>73</v>
      </c>
      <c r="B89" s="106"/>
      <c r="J89" s="33">
        <v>0</v>
      </c>
      <c r="K89" s="99" t="s">
        <v>12</v>
      </c>
      <c r="L89" s="99" t="s">
        <v>79</v>
      </c>
      <c r="P89" s="39"/>
      <c r="S89" s="95" t="s">
        <v>77</v>
      </c>
      <c r="T89" s="90" t="s">
        <v>78</v>
      </c>
    </row>
    <row r="90" spans="1:29" x14ac:dyDescent="0.3">
      <c r="B90" s="136" t="s">
        <v>13</v>
      </c>
      <c r="J90" s="33">
        <v>0</v>
      </c>
      <c r="K90" s="33">
        <f>ROUNDUP(SUM(W21:W53)+SUM(W60:W85),0)</f>
        <v>0</v>
      </c>
      <c r="L90" s="33">
        <f>IF(K90=X90,0,ROUNDUP(SUM(X21:X53)+SUM(X60:X85),0))</f>
        <v>0</v>
      </c>
      <c r="N90" s="33">
        <f>SUM(R21:R53)+SUM(R60:R85)</f>
        <v>0</v>
      </c>
      <c r="P90" s="89">
        <f>CEILING(CEILING(K90+N90,18)/18,1)</f>
        <v>0</v>
      </c>
      <c r="Q90" s="101" t="str">
        <f>IF((P90)&gt;0,"x 5,00","")</f>
        <v/>
      </c>
      <c r="S90" s="96">
        <f>P90*5.1</f>
        <v>0</v>
      </c>
      <c r="T90" s="34">
        <f>SUM(AB21:AB53)+SUM(AB60:AB85)</f>
        <v>0</v>
      </c>
      <c r="X90" s="33">
        <f>ROUNDUP(SUM(X21:X53)+SUM(X60:X85),0)</f>
        <v>0</v>
      </c>
    </row>
    <row r="91" spans="1:29" x14ac:dyDescent="0.3">
      <c r="B91" s="136" t="s">
        <v>14</v>
      </c>
      <c r="C91" s="107" t="s">
        <v>80</v>
      </c>
      <c r="J91" s="33">
        <v>0</v>
      </c>
      <c r="K91" s="33">
        <f>ROUNDUP(SUM($W$5:$W$10)+SUM($W$13:$W$18),0)</f>
        <v>0</v>
      </c>
      <c r="L91" s="33">
        <f>IF(K91=X91,0,ROUND(SUM($X$5:$X$10)+SUM($X$13:$X$18),0))</f>
        <v>0</v>
      </c>
      <c r="M91" s="43"/>
      <c r="N91" s="33">
        <f>SUM($R$5:$R$10)+SUM($R$13:$R$18)</f>
        <v>0</v>
      </c>
      <c r="O91" s="43"/>
      <c r="P91" s="89">
        <f>CEILING(CEILING(K91+N91,3)/3,1)</f>
        <v>0</v>
      </c>
      <c r="Q91" s="101" t="str">
        <f>IF((P91)&gt;0,"x 0,68","")</f>
        <v/>
      </c>
      <c r="S91" s="96">
        <f>P91*0.68</f>
        <v>0</v>
      </c>
      <c r="T91" s="34">
        <f>SUM($AB$5:$AB$10)+SUM($AB$13:$AB$18)</f>
        <v>0</v>
      </c>
      <c r="V91">
        <f>0.68*(K91+N91)/3</f>
        <v>0</v>
      </c>
      <c r="X91" s="33">
        <f>ROUND(SUM($X$5:$X$10)+SUM($X$13:$X$18),0)</f>
        <v>0</v>
      </c>
    </row>
    <row r="92" spans="1:29" x14ac:dyDescent="0.3">
      <c r="B92" s="136" t="s">
        <v>14</v>
      </c>
      <c r="C92" s="107" t="s">
        <v>81</v>
      </c>
      <c r="J92" s="33">
        <v>0</v>
      </c>
      <c r="K92" s="33">
        <f>ROUNDUP(SUM($W$11:$W$12)+$W$19+SUM($W$54:$W$55)+SUM($W$58:$W$59),0)</f>
        <v>0</v>
      </c>
      <c r="L92" s="33">
        <f>IF(K92=X92,0,ROUND(SUM($X$11:$X$12)+$X$19+SUM($X$54:$X$55)+SUM($X$58:$X$59),0))</f>
        <v>0</v>
      </c>
      <c r="M92" s="43"/>
      <c r="N92" s="33">
        <f>SUM($R$11:$R$12)+$R$19+SUM($R$54:$R$55)+SUM($R$58:$R$59)</f>
        <v>0</v>
      </c>
      <c r="O92" s="43"/>
      <c r="P92" s="89">
        <f t="shared" ref="P92" si="31">CEILING(CEILING(K92+N92,3)/3,1)</f>
        <v>0</v>
      </c>
      <c r="Q92" s="101" t="str">
        <f>IF((P92)&gt;0,"x 0,78","")</f>
        <v/>
      </c>
      <c r="S92" s="96">
        <f>P92*0.78</f>
        <v>0</v>
      </c>
      <c r="T92" s="34">
        <f>SUM($AB$11:$AB$12)+$AB$19+SUM($AB$54:$AB$55)+SUM($AB$58:$AB$59)</f>
        <v>0</v>
      </c>
      <c r="V92">
        <f>0.78*(K92+N92)/3</f>
        <v>0</v>
      </c>
      <c r="X92" s="33">
        <f>ROUND(SUM($X$11:$X$12)+$X$19+SUM($X$54:$X$55)+SUM($X$58:$X$59),0)</f>
        <v>0</v>
      </c>
    </row>
    <row r="93" spans="1:29" x14ac:dyDescent="0.3">
      <c r="B93" s="136" t="s">
        <v>14</v>
      </c>
      <c r="C93" s="107" t="s">
        <v>70</v>
      </c>
      <c r="F93" s="33"/>
      <c r="H93" s="33"/>
      <c r="J93" s="33">
        <v>0</v>
      </c>
      <c r="K93" s="33">
        <f>ROUNDUP($W$20,0)</f>
        <v>0</v>
      </c>
      <c r="L93" s="33">
        <f>IF(K93=X93,0,ROUND($X$20,0))</f>
        <v>0</v>
      </c>
      <c r="M93" s="43"/>
      <c r="N93" s="33">
        <f>$R$20</f>
        <v>0</v>
      </c>
      <c r="O93" s="43"/>
      <c r="P93" s="89">
        <f>CEILING(CEILING(K93+N93,2)/2,1)</f>
        <v>0</v>
      </c>
      <c r="Q93" s="101" t="str">
        <f>IF((P93)&gt;0,"x 0,90","")</f>
        <v/>
      </c>
      <c r="S93" s="96">
        <f>P93*0.9</f>
        <v>0</v>
      </c>
      <c r="T93" s="34">
        <f>$AB$20</f>
        <v>0</v>
      </c>
      <c r="V93">
        <f>0.9*(K93+N93)/2</f>
        <v>0</v>
      </c>
      <c r="X93" s="33">
        <f>ROUND($X$20,0)</f>
        <v>0</v>
      </c>
    </row>
    <row r="94" spans="1:29" x14ac:dyDescent="0.3">
      <c r="B94" s="136" t="s">
        <v>14</v>
      </c>
      <c r="C94" s="107" t="s">
        <v>71</v>
      </c>
      <c r="J94" s="33">
        <v>0</v>
      </c>
      <c r="K94" s="33">
        <f>ROUNDUP(SUM($W$56:$W$57),0)</f>
        <v>0</v>
      </c>
      <c r="L94" s="33">
        <f>IF(K94=X94,0,ROUND(SUM($X$56:$X$57),0))</f>
        <v>0</v>
      </c>
      <c r="M94" s="43"/>
      <c r="N94" s="33">
        <f>SUM($R$56:$R$57)</f>
        <v>0</v>
      </c>
      <c r="O94" s="43"/>
      <c r="P94" s="89">
        <f>CEILING(CEILING(K94+N94,2)/2,1)</f>
        <v>0</v>
      </c>
      <c r="Q94" s="101" t="str">
        <f>IF((P94)&gt;0,"x 1,16","")</f>
        <v/>
      </c>
      <c r="S94" s="96">
        <f>P94*1.16</f>
        <v>0</v>
      </c>
      <c r="T94" s="34">
        <f>SUM($AB$56:$AB$57)</f>
        <v>0</v>
      </c>
      <c r="V94">
        <f>1.16*(K94+N94)/2</f>
        <v>0</v>
      </c>
      <c r="X94" s="33">
        <f>ROUND(SUM($X$56:$X$57),0)</f>
        <v>0</v>
      </c>
    </row>
    <row r="95" spans="1:29" x14ac:dyDescent="0.3">
      <c r="A95" s="180" t="s">
        <v>148</v>
      </c>
      <c r="B95" s="180"/>
      <c r="C95" s="180"/>
      <c r="D95" s="180"/>
      <c r="E95" s="180"/>
      <c r="F95" s="180"/>
      <c r="G95" s="180"/>
      <c r="H95" s="103"/>
      <c r="I95" s="102"/>
      <c r="J95" s="33">
        <v>0</v>
      </c>
      <c r="K95" s="102"/>
      <c r="L95" s="102"/>
      <c r="M95" s="104"/>
      <c r="P95" s="89"/>
      <c r="R95" s="94"/>
      <c r="S95" s="100">
        <f>SUM(S90:S94)</f>
        <v>0</v>
      </c>
      <c r="T95" s="100">
        <f>SUM(T90:T94)</f>
        <v>0</v>
      </c>
      <c r="V95">
        <f>SUM(V91:V94)</f>
        <v>0</v>
      </c>
    </row>
    <row r="96" spans="1:29" x14ac:dyDescent="0.3">
      <c r="A96" s="103"/>
      <c r="J96" s="33">
        <v>0</v>
      </c>
      <c r="P96" s="89"/>
      <c r="R96" s="96"/>
    </row>
    <row r="97" spans="8:18" x14ac:dyDescent="0.3">
      <c r="P97" s="89"/>
      <c r="R97" s="96"/>
    </row>
    <row r="98" spans="8:18" x14ac:dyDescent="0.3">
      <c r="R98" s="96"/>
    </row>
    <row r="99" spans="8:18" x14ac:dyDescent="0.3">
      <c r="Q99"/>
    </row>
    <row r="100" spans="8:18" x14ac:dyDescent="0.3">
      <c r="Q100"/>
    </row>
    <row r="101" spans="8:18" x14ac:dyDescent="0.3">
      <c r="Q101"/>
    </row>
    <row r="102" spans="8:18" x14ac:dyDescent="0.3">
      <c r="Q102"/>
    </row>
    <row r="103" spans="8:18" x14ac:dyDescent="0.3">
      <c r="Q103"/>
    </row>
    <row r="104" spans="8:18" x14ac:dyDescent="0.3">
      <c r="Q104"/>
    </row>
    <row r="105" spans="8:18" x14ac:dyDescent="0.3">
      <c r="Q105"/>
    </row>
    <row r="106" spans="8:18" x14ac:dyDescent="0.3">
      <c r="H106" s="42"/>
      <c r="I106" s="42"/>
      <c r="J106" s="28"/>
    </row>
    <row r="107" spans="8:18" x14ac:dyDescent="0.3">
      <c r="J107" s="28"/>
    </row>
    <row r="108" spans="8:18" x14ac:dyDescent="0.3">
      <c r="J108" s="28" t="s">
        <v>9</v>
      </c>
    </row>
    <row r="109" spans="8:18" x14ac:dyDescent="0.3">
      <c r="J109" s="28" t="s">
        <v>9</v>
      </c>
    </row>
    <row r="110" spans="8:18" x14ac:dyDescent="0.3">
      <c r="J110" s="28" t="s">
        <v>9</v>
      </c>
    </row>
    <row r="113" spans="3:7" x14ac:dyDescent="0.3">
      <c r="C113" s="38"/>
      <c r="D113" s="38"/>
      <c r="E113" s="38"/>
      <c r="F113" s="38"/>
      <c r="G113" s="38"/>
    </row>
    <row r="114" spans="3:7" x14ac:dyDescent="0.3">
      <c r="C114" s="38"/>
      <c r="D114" s="38"/>
      <c r="E114" s="38"/>
      <c r="F114" s="38"/>
      <c r="G114" s="38"/>
    </row>
    <row r="115" spans="3:7" x14ac:dyDescent="0.3">
      <c r="C115" s="38"/>
      <c r="D115" s="38"/>
      <c r="E115" s="38"/>
      <c r="F115" s="38"/>
      <c r="G115" s="38"/>
    </row>
    <row r="116" spans="3:7" x14ac:dyDescent="0.3">
      <c r="C116" s="42"/>
      <c r="E116" s="42"/>
      <c r="F116" s="42"/>
      <c r="G116" s="42"/>
    </row>
  </sheetData>
  <sheetProtection algorithmName="SHA-512" hashValue="TQ+1F7Az2YEhBFfhwjggSv/ikOptIefvq5AAiDxIv9DN7f2tV6beGAjU4mCGSST1BtaHleXuNZRrqAAX9FqhJA==" saltValue="HXBBgQT5ajLNq/xml1rFmw==" spinCount="100000" sheet="1" sort="0" autoFilter="0"/>
  <protectedRanges>
    <protectedRange sqref="J5:J85" name="Диапазон1_2"/>
    <protectedRange sqref="A87 J103:J110 J5:J100" name="Диапазон2_2"/>
    <protectedRange sqref="F95" name="Диапазон2"/>
  </protectedRanges>
  <autoFilter ref="J4:J95" xr:uid="{6C1DD14F-BE8F-4771-955E-EF6E5AE72F95}"/>
  <mergeCells count="21">
    <mergeCell ref="N1:O1"/>
    <mergeCell ref="A2:A4"/>
    <mergeCell ref="B2:B4"/>
    <mergeCell ref="C2:E2"/>
    <mergeCell ref="F2:I2"/>
    <mergeCell ref="P3:Q3"/>
    <mergeCell ref="T2:T3"/>
    <mergeCell ref="U2:U3"/>
    <mergeCell ref="A95:G95"/>
    <mergeCell ref="L2:O2"/>
    <mergeCell ref="P2:S2"/>
    <mergeCell ref="J2:J3"/>
    <mergeCell ref="K2:K3"/>
    <mergeCell ref="C3:C4"/>
    <mergeCell ref="D3:D4"/>
    <mergeCell ref="L3:M3"/>
    <mergeCell ref="E3:E4"/>
    <mergeCell ref="F3:F4"/>
    <mergeCell ref="G3:G4"/>
    <mergeCell ref="H3:H4"/>
    <mergeCell ref="I3:I4"/>
  </mergeCells>
  <phoneticPr fontId="2" type="noConversion"/>
  <conditionalFormatting sqref="Q5:Q53 Q67:Q85 N5:O85 R5:U85">
    <cfRule type="cellIs" dxfId="14" priority="70" stopIfTrue="1" operator="equal">
      <formula>0</formula>
    </cfRule>
  </conditionalFormatting>
  <conditionalFormatting sqref="A87 J106:J110">
    <cfRule type="cellIs" dxfId="13" priority="71" stopIfTrue="1" operator="equal">
      <formula>"a"</formula>
    </cfRule>
  </conditionalFormatting>
  <conditionalFormatting sqref="K91:K94">
    <cfRule type="cellIs" dxfId="12" priority="18" operator="equal">
      <formula>0</formula>
    </cfRule>
  </conditionalFormatting>
  <conditionalFormatting sqref="J87:J96">
    <cfRule type="cellIs" dxfId="11" priority="17" operator="equal">
      <formula>0</formula>
    </cfRule>
  </conditionalFormatting>
  <conditionalFormatting sqref="J86">
    <cfRule type="cellIs" dxfId="10" priority="16" operator="equal">
      <formula>0</formula>
    </cfRule>
  </conditionalFormatting>
  <conditionalFormatting sqref="P90:P93">
    <cfRule type="cellIs" dxfId="9" priority="15" operator="equal">
      <formula>0</formula>
    </cfRule>
  </conditionalFormatting>
  <conditionalFormatting sqref="N91:N94">
    <cfRule type="cellIs" dxfId="8" priority="13" operator="equal">
      <formula>0</formula>
    </cfRule>
  </conditionalFormatting>
  <conditionalFormatting sqref="L91:L94">
    <cfRule type="cellIs" dxfId="7" priority="12" operator="equal">
      <formula>0</formula>
    </cfRule>
  </conditionalFormatting>
  <conditionalFormatting sqref="S90:S94">
    <cfRule type="cellIs" dxfId="4" priority="8" operator="equal">
      <formula>0</formula>
    </cfRule>
  </conditionalFormatting>
  <conditionalFormatting sqref="P90:P93">
    <cfRule type="cellIs" dxfId="3" priority="4" operator="equal">
      <formula>0</formula>
    </cfRule>
  </conditionalFormatting>
  <conditionalFormatting sqref="P94:P97">
    <cfRule type="cellIs" dxfId="2" priority="3" operator="equal">
      <formula>0</formula>
    </cfRule>
  </conditionalFormatting>
  <conditionalFormatting sqref="P94:P97">
    <cfRule type="cellIs" dxfId="1" priority="2" operator="equal">
      <formula>0</formula>
    </cfRule>
  </conditionalFormatting>
  <conditionalFormatting sqref="K90:N90">
    <cfRule type="cellIs" dxfId="0" priority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DF959-86D6-41B3-9D8B-9937DB7536EC}">
  <dimension ref="A1:R31"/>
  <sheetViews>
    <sheetView zoomScale="90" zoomScaleNormal="90" workbookViewId="0">
      <selection activeCell="A11" sqref="A11:B11"/>
    </sheetView>
  </sheetViews>
  <sheetFormatPr defaultRowHeight="14" x14ac:dyDescent="0.3"/>
  <cols>
    <col min="1" max="1" width="27.83203125" customWidth="1"/>
    <col min="4" max="4" width="7.08203125" style="3" customWidth="1"/>
    <col min="5" max="5" width="9" style="3"/>
    <col min="6" max="6" width="6.08203125" style="3" customWidth="1"/>
    <col min="7" max="7" width="9.5" style="3" bestFit="1" customWidth="1"/>
    <col min="8" max="8" width="8.33203125" style="3" bestFit="1" customWidth="1"/>
    <col min="9" max="10" width="9" style="3"/>
    <col min="11" max="11" width="9.83203125" style="3" customWidth="1"/>
    <col min="12" max="14" width="8.58203125" style="3" customWidth="1"/>
    <col min="15" max="15" width="0" style="3" hidden="1" customWidth="1"/>
    <col min="16" max="18" width="9" style="3"/>
  </cols>
  <sheetData>
    <row r="1" spans="1:16" ht="18.5" x14ac:dyDescent="0.45">
      <c r="A1" s="119" t="s">
        <v>86</v>
      </c>
    </row>
    <row r="2" spans="1:16" x14ac:dyDescent="0.3">
      <c r="A2" s="66" t="s">
        <v>87</v>
      </c>
      <c r="C2" s="120">
        <v>8000</v>
      </c>
    </row>
    <row r="4" spans="1:16" x14ac:dyDescent="0.3">
      <c r="A4" t="s">
        <v>88</v>
      </c>
    </row>
    <row r="5" spans="1:16" x14ac:dyDescent="0.3">
      <c r="A5" s="175" t="s">
        <v>89</v>
      </c>
      <c r="B5" s="176"/>
      <c r="C5" s="121">
        <f>C2-C6</f>
        <v>5600</v>
      </c>
    </row>
    <row r="6" spans="1:16" x14ac:dyDescent="0.3">
      <c r="A6" s="66" t="s">
        <v>90</v>
      </c>
      <c r="B6" s="122">
        <v>0.3</v>
      </c>
      <c r="C6" s="121">
        <f>C2*B6</f>
        <v>2400</v>
      </c>
    </row>
    <row r="7" spans="1:16" x14ac:dyDescent="0.3">
      <c r="A7" s="175" t="s">
        <v>91</v>
      </c>
      <c r="B7" s="176"/>
      <c r="C7" s="120">
        <v>650</v>
      </c>
    </row>
    <row r="8" spans="1:16" x14ac:dyDescent="0.3">
      <c r="A8" s="175" t="s">
        <v>92</v>
      </c>
      <c r="B8" s="176"/>
      <c r="C8" s="120">
        <v>3760</v>
      </c>
    </row>
    <row r="10" spans="1:16" x14ac:dyDescent="0.3">
      <c r="A10" s="175" t="s">
        <v>93</v>
      </c>
      <c r="B10" s="176"/>
      <c r="C10" s="120">
        <v>6800</v>
      </c>
    </row>
    <row r="11" spans="1:16" x14ac:dyDescent="0.3">
      <c r="A11" s="175" t="s">
        <v>94</v>
      </c>
      <c r="B11" s="176"/>
      <c r="C11" s="120">
        <v>7700</v>
      </c>
    </row>
    <row r="12" spans="1:16" x14ac:dyDescent="0.3">
      <c r="A12" s="175" t="s">
        <v>95</v>
      </c>
      <c r="B12" s="176"/>
      <c r="C12" s="120">
        <v>1310</v>
      </c>
      <c r="D12" s="123" t="s">
        <v>96</v>
      </c>
      <c r="G12" s="124" t="s">
        <v>97</v>
      </c>
      <c r="H12" s="123" t="s">
        <v>98</v>
      </c>
      <c r="L12" s="124">
        <v>1</v>
      </c>
      <c r="M12" s="124">
        <v>2</v>
      </c>
      <c r="N12" s="124">
        <v>3</v>
      </c>
    </row>
    <row r="13" spans="1:16" ht="14.5" x14ac:dyDescent="0.35">
      <c r="D13" s="3" t="s">
        <v>99</v>
      </c>
      <c r="E13" s="125">
        <f>C5</f>
        <v>5600</v>
      </c>
      <c r="H13" s="125">
        <f>C6</f>
        <v>2400</v>
      </c>
      <c r="P13" s="97"/>
    </row>
    <row r="14" spans="1:16" x14ac:dyDescent="0.3">
      <c r="A14" s="175" t="s">
        <v>100</v>
      </c>
      <c r="B14" s="176"/>
      <c r="C14" s="120">
        <v>12000</v>
      </c>
      <c r="E14" s="123" t="s">
        <v>101</v>
      </c>
      <c r="G14" s="126">
        <f>C10*C12/C11</f>
        <v>1156.8831168831168</v>
      </c>
    </row>
    <row r="15" spans="1:16" x14ac:dyDescent="0.3">
      <c r="A15" s="175" t="s">
        <v>102</v>
      </c>
      <c r="B15" s="176"/>
      <c r="C15" s="120">
        <v>13620</v>
      </c>
      <c r="E15" s="126">
        <f>G14*C7/C8</f>
        <v>199.99309201436861</v>
      </c>
      <c r="H15" s="126">
        <f>G14*(C8-C7)/C8</f>
        <v>956.89002486874824</v>
      </c>
      <c r="I15" s="97"/>
      <c r="M15" s="124" t="s">
        <v>103</v>
      </c>
    </row>
    <row r="16" spans="1:16" ht="14.5" x14ac:dyDescent="0.35">
      <c r="E16" s="127">
        <f>SUM(E13:E15)</f>
        <v>5799.9930920143688</v>
      </c>
      <c r="H16" s="127">
        <f>SUM(H13:H15)</f>
        <v>3356.8900248687482</v>
      </c>
      <c r="I16" s="97"/>
      <c r="L16" s="126">
        <f>M16</f>
        <v>1881.0389610389611</v>
      </c>
      <c r="M16" s="126">
        <f>(C10*(C11-C12)/C11)/3</f>
        <v>1881.0389610389611</v>
      </c>
      <c r="N16" s="126">
        <f>M16</f>
        <v>1881.0389610389611</v>
      </c>
      <c r="P16" s="97"/>
    </row>
    <row r="17" spans="1:17" x14ac:dyDescent="0.3">
      <c r="B17" s="1" t="s">
        <v>104</v>
      </c>
      <c r="C17" s="1" t="s">
        <v>105</v>
      </c>
    </row>
    <row r="18" spans="1:17" x14ac:dyDescent="0.3">
      <c r="A18" s="2" t="s">
        <v>106</v>
      </c>
      <c r="B18" s="128"/>
      <c r="C18" s="128"/>
      <c r="E18" s="123" t="s">
        <v>107</v>
      </c>
      <c r="G18" s="126">
        <f>(веспр*осьпр+вес1*O22+вес2*O23+вес3*O24+вес4*O25+вес5*O26+вес6*O27+вес7*O28+вес8*O29+вес9*O30+вес10*O31)/база</f>
        <v>1156.8831168831168</v>
      </c>
    </row>
    <row r="19" spans="1:17" x14ac:dyDescent="0.3">
      <c r="A19" s="2" t="s">
        <v>108</v>
      </c>
      <c r="B19" s="128"/>
      <c r="C19" s="128"/>
      <c r="E19" s="126">
        <f>G18*седло/базатяг</f>
        <v>199.99309201436861</v>
      </c>
      <c r="H19" s="126">
        <f>G18*(базатяг-седло)/базатяг</f>
        <v>956.89002486874824</v>
      </c>
      <c r="M19" s="97">
        <f>(вес1+вес2+вес3+вес4+вес5+вес6+вес7+вес8+вес9+вес10+веспр-G18)</f>
        <v>5643.1168831168834</v>
      </c>
    </row>
    <row r="20" spans="1:17" ht="15.5" x14ac:dyDescent="0.35">
      <c r="A20" s="2" t="s">
        <v>109</v>
      </c>
      <c r="B20" s="128"/>
      <c r="C20" s="128"/>
      <c r="E20" s="129">
        <f>E13+E19</f>
        <v>5799.9930920143688</v>
      </c>
      <c r="F20" s="130"/>
      <c r="G20" s="130"/>
      <c r="H20" s="129">
        <f>H13+H19</f>
        <v>3356.8900248687482</v>
      </c>
      <c r="L20" s="129">
        <f>M20</f>
        <v>1881.0389610389611</v>
      </c>
      <c r="M20" s="129">
        <f>(вес1+вес2+вес3+вес4+вес5+вес6+вес7+вес8+вес9+вес10+веспр-G18)/3</f>
        <v>1881.0389610389611</v>
      </c>
      <c r="N20" s="129">
        <f>M20</f>
        <v>1881.0389610389611</v>
      </c>
      <c r="P20" s="97"/>
      <c r="Q20" s="97"/>
    </row>
    <row r="21" spans="1:17" x14ac:dyDescent="0.3">
      <c r="A21" s="2" t="s">
        <v>110</v>
      </c>
      <c r="B21" s="128"/>
      <c r="C21" s="128"/>
    </row>
    <row r="22" spans="1:17" x14ac:dyDescent="0.3">
      <c r="A22" s="2" t="s">
        <v>111</v>
      </c>
      <c r="B22" s="128"/>
      <c r="C22" s="128"/>
      <c r="O22" s="3">
        <f>база-шквзт+длинаПП-дл1*1000/2</f>
        <v>9320</v>
      </c>
    </row>
    <row r="23" spans="1:17" x14ac:dyDescent="0.3">
      <c r="A23" s="2" t="s">
        <v>112</v>
      </c>
      <c r="B23" s="128"/>
      <c r="C23" s="128"/>
      <c r="O23" s="3">
        <f>база-шквзт+длинаПП-дл1*1000-дл2*1000/2</f>
        <v>9320</v>
      </c>
    </row>
    <row r="24" spans="1:17" x14ac:dyDescent="0.3">
      <c r="A24" s="2" t="s">
        <v>113</v>
      </c>
      <c r="B24" s="128"/>
      <c r="C24" s="128"/>
      <c r="O24" s="3">
        <f>база-шквзт+длинаПП-дл1*1000-дл2*1000-дл3*1000/2</f>
        <v>9320</v>
      </c>
    </row>
    <row r="25" spans="1:17" x14ac:dyDescent="0.3">
      <c r="A25" s="2" t="s">
        <v>114</v>
      </c>
      <c r="B25" s="128"/>
      <c r="C25" s="128"/>
      <c r="O25" s="3">
        <f>база-шквзт+длинаПП-дл1*1000-дл2*1000-дл3*1000-дл4*1000/2</f>
        <v>9320</v>
      </c>
    </row>
    <row r="26" spans="1:17" x14ac:dyDescent="0.3">
      <c r="A26" s="2" t="s">
        <v>115</v>
      </c>
      <c r="B26" s="128"/>
      <c r="C26" s="128"/>
      <c r="E26" s="177" t="s">
        <v>116</v>
      </c>
      <c r="F26" s="177"/>
      <c r="G26" s="177"/>
      <c r="H26" s="177"/>
      <c r="I26" s="177"/>
      <c r="J26" s="177"/>
      <c r="K26" s="177"/>
      <c r="L26" s="177"/>
      <c r="M26" s="177"/>
      <c r="N26" s="177"/>
      <c r="O26" s="3">
        <f>база-шквзт+длинаПП-дл1*1000-дл2*1000-дл3*1000-дл4*1000-дл5*1000/2</f>
        <v>9320</v>
      </c>
    </row>
    <row r="27" spans="1:17" ht="15" customHeight="1" x14ac:dyDescent="0.3">
      <c r="A27" s="2" t="s">
        <v>117</v>
      </c>
      <c r="B27" s="128"/>
      <c r="C27" s="128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3">
        <f>база-шквзт+длинаПП-дл1*1000-дл2*1000-дл3*1000-дл4*1000-дл5*1000-дл6*1000/2</f>
        <v>9320</v>
      </c>
    </row>
    <row r="28" spans="1:17" x14ac:dyDescent="0.3">
      <c r="A28" s="3"/>
      <c r="B28" s="131">
        <f>SUM(B18:B27)</f>
        <v>0</v>
      </c>
      <c r="C28" s="131">
        <f>SUM(C18:C27)</f>
        <v>0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3">
        <f>база-шквзт+длинаПП-дл1*1000-дл2*1000-дл3*1000-дл4*1000-дл5*1000-дл6*1000-дл7*1000/2</f>
        <v>9320</v>
      </c>
    </row>
    <row r="29" spans="1:17" x14ac:dyDescent="0.3">
      <c r="A29" s="132" t="s">
        <v>118</v>
      </c>
      <c r="B29" s="3"/>
      <c r="C29" s="3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3">
        <f>база-шквзт+длинаПП-дл1*1000-дл2*1000-дл3*1000-дл4*1000-дл5*1000-дл6*1000-дл7*1000-дл8*1000/2</f>
        <v>9320</v>
      </c>
    </row>
    <row r="30" spans="1:17" x14ac:dyDescent="0.3">
      <c r="A30" s="3"/>
      <c r="B30" s="3"/>
      <c r="C30" s="3"/>
      <c r="O30" s="3">
        <f>база-шквзт+длинаПП-дл1*1000-дл2*1000-дл3*1000-дл4*1000-дл5*1000-дл6*1000-дл7*1000-дл8*1000-дл9*1000/2</f>
        <v>9320</v>
      </c>
    </row>
    <row r="31" spans="1:17" x14ac:dyDescent="0.3">
      <c r="O31" s="3">
        <f>база-шквзт+длинаПП-дл1*1000-дл2*1000-дл3*1000-дл4*1000-дл5*1000-дл6*1000-дл7*1000-дл8*1000-дл9*1000-дл10*1000/2</f>
        <v>9320</v>
      </c>
    </row>
  </sheetData>
  <sheetProtection algorithmName="SHA-512" hashValue="nl+xyyvb+6SeqzSs6GP/q2gP1rXttXkfhfZ9+XX1wSxHn/aefd/8BmPebE0AOBpO9v3VHYiQtuR4PyJRXd4ZOQ==" saltValue="t9H0yyZftvY3eapWx3oI7Q==" spinCount="100000" sheet="1" objects="1" scenarios="1"/>
  <mergeCells count="9">
    <mergeCell ref="A14:B14"/>
    <mergeCell ref="A15:B15"/>
    <mergeCell ref="E26:N29"/>
    <mergeCell ref="A5:B5"/>
    <mergeCell ref="A7:B7"/>
    <mergeCell ref="A8:B8"/>
    <mergeCell ref="A10:B10"/>
    <mergeCell ref="A11:B11"/>
    <mergeCell ref="A12:B1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Расчёт TECTUBE</vt:lpstr>
      <vt:lpstr>Нагрузка на оси</vt:lpstr>
      <vt:lpstr>база</vt:lpstr>
      <vt:lpstr>базатяг</vt:lpstr>
      <vt:lpstr>вес1</vt:lpstr>
      <vt:lpstr>вес10</vt:lpstr>
      <vt:lpstr>вес2</vt:lpstr>
      <vt:lpstr>вес3</vt:lpstr>
      <vt:lpstr>вес4</vt:lpstr>
      <vt:lpstr>вес5</vt:lpstr>
      <vt:lpstr>вес6</vt:lpstr>
      <vt:lpstr>вес7</vt:lpstr>
      <vt:lpstr>вес8</vt:lpstr>
      <vt:lpstr>вес9</vt:lpstr>
      <vt:lpstr>веспр</vt:lpstr>
      <vt:lpstr>дл1</vt:lpstr>
      <vt:lpstr>дл10</vt:lpstr>
      <vt:lpstr>дл2</vt:lpstr>
      <vt:lpstr>дл3</vt:lpstr>
      <vt:lpstr>дл4</vt:lpstr>
      <vt:lpstr>дл5</vt:lpstr>
      <vt:lpstr>дл6</vt:lpstr>
      <vt:lpstr>дл7</vt:lpstr>
      <vt:lpstr>дл8</vt:lpstr>
      <vt:lpstr>дл9</vt:lpstr>
      <vt:lpstr>длинаПП</vt:lpstr>
      <vt:lpstr>'Расчёт TECTUBE'!Область_печати</vt:lpstr>
      <vt:lpstr>осьпр</vt:lpstr>
      <vt:lpstr>седло</vt:lpstr>
      <vt:lpstr>шквзт</vt:lpstr>
    </vt:vector>
  </TitlesOfParts>
  <Company>KME Representant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Vinogradov</dc:creator>
  <cp:lastModifiedBy>Andrey</cp:lastModifiedBy>
  <cp:lastPrinted>2020-06-25T09:00:00Z</cp:lastPrinted>
  <dcterms:created xsi:type="dcterms:W3CDTF">2014-10-22T09:02:49Z</dcterms:created>
  <dcterms:modified xsi:type="dcterms:W3CDTF">2020-06-25T10:14:31Z</dcterms:modified>
</cp:coreProperties>
</file>