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\Arbeit\Installationsrohre\Kunden ab 2017\Angebot 2020\"/>
    </mc:Choice>
  </mc:AlternateContent>
  <xr:revisionPtr revIDLastSave="0" documentId="13_ncr:1_{2794EDBF-2B31-49AC-9FEA-6264B10FB1B1}" xr6:coauthVersionLast="45" xr6:coauthVersionMax="45" xr10:uidLastSave="{00000000-0000-0000-0000-000000000000}"/>
  <bookViews>
    <workbookView xWindow="-110" yWindow="-110" windowWidth="19420" windowHeight="10420" tabRatio="833" xr2:uid="{00000000-000D-0000-FFFF-FFFF00000000}"/>
  </bookViews>
  <sheets>
    <sheet name="Расчёт Sanco Wicu" sheetId="5" r:id="rId1"/>
    <sheet name="Нагрузка на оси" sheetId="19" r:id="rId2"/>
  </sheets>
  <definedNames>
    <definedName name="_xlnm._FilterDatabase" localSheetId="0" hidden="1">'Расчёт Sanco Wicu'!$F$4:$F$83</definedName>
    <definedName name="база">'Нагрузка на оси'!$C$11</definedName>
    <definedName name="базатяг">'Нагрузка на оси'!$C$8</definedName>
    <definedName name="вес1">'Нагрузка на оси'!$C$18</definedName>
    <definedName name="вес10">'Нагрузка на оси'!$C$27</definedName>
    <definedName name="вес2">'Нагрузка на оси'!$C$19</definedName>
    <definedName name="вес3">'Нагрузка на оси'!$C$20</definedName>
    <definedName name="вес4">'Нагрузка на оси'!$C$21</definedName>
    <definedName name="вес5">'Нагрузка на оси'!$C$22</definedName>
    <definedName name="вес6">'Нагрузка на оси'!$C$23</definedName>
    <definedName name="вес7">'Нагрузка на оси'!$C$24</definedName>
    <definedName name="вес8">'Нагрузка на оси'!$C$25</definedName>
    <definedName name="вес9">'Нагрузка на оси'!$C$26</definedName>
    <definedName name="веспр">'Нагрузка на оси'!$C$10</definedName>
    <definedName name="дл1">'Нагрузка на оси'!$B$18</definedName>
    <definedName name="дл10">'Нагрузка на оси'!$B$27</definedName>
    <definedName name="дл2">'Нагрузка на оси'!$B$19</definedName>
    <definedName name="дл3">'Нагрузка на оси'!$B$20</definedName>
    <definedName name="дл4">'Нагрузка на оси'!$B$21</definedName>
    <definedName name="дл5">'Нагрузка на оси'!$B$22</definedName>
    <definedName name="дл6">'Нагрузка на оси'!$B$23</definedName>
    <definedName name="дл7">'Нагрузка на оси'!$B$24</definedName>
    <definedName name="дл8">'Нагрузка на оси'!$B$25</definedName>
    <definedName name="дл9">'Нагрузка на оси'!$B$26</definedName>
    <definedName name="длинаПП">'Нагрузка на оси'!$C$15</definedName>
    <definedName name="осьпр">'Нагрузка на оси'!$C$12</definedName>
    <definedName name="седло">'Нагрузка на оси'!$C$7</definedName>
    <definedName name="шквзт">'Нагрузка на оси'!$C$14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" i="5" l="1"/>
  <c r="O31" i="19" l="1"/>
  <c r="O30" i="19"/>
  <c r="O29" i="19"/>
  <c r="O28" i="19"/>
  <c r="C28" i="19"/>
  <c r="B28" i="19"/>
  <c r="O27" i="19"/>
  <c r="O26" i="19"/>
  <c r="O25" i="19"/>
  <c r="O24" i="19"/>
  <c r="O23" i="19"/>
  <c r="O22" i="19"/>
  <c r="M16" i="19"/>
  <c r="N16" i="19" s="1"/>
  <c r="G14" i="19"/>
  <c r="H15" i="19" s="1"/>
  <c r="C6" i="19"/>
  <c r="H13" i="19" s="1"/>
  <c r="C5" i="19" l="1"/>
  <c r="E13" i="19" s="1"/>
  <c r="G18" i="19"/>
  <c r="H19" i="19" s="1"/>
  <c r="H20" i="19" s="1"/>
  <c r="L16" i="19"/>
  <c r="H16" i="19"/>
  <c r="E15" i="19"/>
  <c r="E16" i="19" l="1"/>
  <c r="M20" i="19"/>
  <c r="E19" i="19"/>
  <c r="E20" i="19" s="1"/>
  <c r="M19" i="19"/>
  <c r="N20" i="19"/>
  <c r="L20" i="19"/>
  <c r="R49" i="5" l="1"/>
  <c r="N49" i="5" s="1"/>
  <c r="R48" i="5"/>
  <c r="R47" i="5"/>
  <c r="N47" i="5" s="1"/>
  <c r="R46" i="5"/>
  <c r="N46" i="5" s="1"/>
  <c r="W47" i="5" l="1"/>
  <c r="O47" i="5"/>
  <c r="J47" i="5"/>
  <c r="K47" i="5" s="1"/>
  <c r="W46" i="5"/>
  <c r="O46" i="5"/>
  <c r="J46" i="5"/>
  <c r="K46" i="5" s="1"/>
  <c r="Q46" i="5" s="1"/>
  <c r="Y46" i="5" s="1"/>
  <c r="W49" i="5"/>
  <c r="O49" i="5"/>
  <c r="J49" i="5"/>
  <c r="K49" i="5" s="1"/>
  <c r="Q49" i="5" s="1"/>
  <c r="Y49" i="5" s="1"/>
  <c r="N48" i="5"/>
  <c r="J48" i="5" s="1"/>
  <c r="K48" i="5" s="1"/>
  <c r="Q47" i="5" l="1"/>
  <c r="Y47" i="5" s="1"/>
  <c r="K79" i="5"/>
  <c r="S48" i="5"/>
  <c r="S49" i="5"/>
  <c r="S47" i="5"/>
  <c r="T47" i="5" s="1"/>
  <c r="W48" i="5"/>
  <c r="O48" i="5"/>
  <c r="Q48" i="5" s="1"/>
  <c r="Y48" i="5" s="1"/>
  <c r="S46" i="5"/>
  <c r="T46" i="5" s="1"/>
  <c r="V49" i="5" l="1"/>
  <c r="X49" i="5" s="1"/>
  <c r="T49" i="5"/>
  <c r="V48" i="5"/>
  <c r="X48" i="5" s="1"/>
  <c r="T48" i="5"/>
  <c r="P46" i="5"/>
  <c r="P49" i="5"/>
  <c r="P48" i="5"/>
  <c r="P47" i="5"/>
  <c r="V47" i="5"/>
  <c r="X47" i="5" s="1"/>
  <c r="H79" i="5"/>
  <c r="V46" i="5"/>
  <c r="X46" i="5" s="1"/>
  <c r="T79" i="5" l="1"/>
  <c r="I79" i="5" s="1"/>
  <c r="M79" i="5"/>
  <c r="P79" i="5"/>
  <c r="R6" i="5" l="1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N20" i="5" s="1"/>
  <c r="W20" i="5" s="1"/>
  <c r="R21" i="5"/>
  <c r="R22" i="5"/>
  <c r="R23" i="5"/>
  <c r="N23" i="5" s="1"/>
  <c r="W23" i="5" s="1"/>
  <c r="R24" i="5"/>
  <c r="N24" i="5" s="1"/>
  <c r="O24" i="5" s="1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N39" i="5" s="1"/>
  <c r="W39" i="5" s="1"/>
  <c r="R40" i="5"/>
  <c r="R41" i="5"/>
  <c r="N41" i="5" s="1"/>
  <c r="W41" i="5" s="1"/>
  <c r="R42" i="5"/>
  <c r="R43" i="5"/>
  <c r="N43" i="5" s="1"/>
  <c r="W43" i="5" s="1"/>
  <c r="R44" i="5"/>
  <c r="R45" i="5"/>
  <c r="N45" i="5" s="1"/>
  <c r="R50" i="5"/>
  <c r="R51" i="5"/>
  <c r="N51" i="5" s="1"/>
  <c r="W51" i="5" s="1"/>
  <c r="R52" i="5"/>
  <c r="R53" i="5"/>
  <c r="N53" i="5" s="1"/>
  <c r="W53" i="5" s="1"/>
  <c r="R54" i="5"/>
  <c r="R55" i="5"/>
  <c r="N55" i="5" s="1"/>
  <c r="W55" i="5" s="1"/>
  <c r="R56" i="5"/>
  <c r="R57" i="5"/>
  <c r="N57" i="5" s="1"/>
  <c r="O57" i="5" s="1"/>
  <c r="R58" i="5"/>
  <c r="R59" i="5"/>
  <c r="N59" i="5" s="1"/>
  <c r="W59" i="5" s="1"/>
  <c r="R60" i="5"/>
  <c r="R65" i="5"/>
  <c r="N65" i="5" s="1"/>
  <c r="W65" i="5" s="1"/>
  <c r="R66" i="5"/>
  <c r="R67" i="5"/>
  <c r="N67" i="5" s="1"/>
  <c r="W67" i="5" s="1"/>
  <c r="R68" i="5"/>
  <c r="R61" i="5"/>
  <c r="N61" i="5" s="1"/>
  <c r="R62" i="5"/>
  <c r="R63" i="5"/>
  <c r="N63" i="5" s="1"/>
  <c r="W63" i="5" s="1"/>
  <c r="R64" i="5"/>
  <c r="R69" i="5"/>
  <c r="N69" i="5" s="1"/>
  <c r="W69" i="5" s="1"/>
  <c r="R70" i="5"/>
  <c r="R71" i="5"/>
  <c r="N71" i="5" s="1"/>
  <c r="W71" i="5" s="1"/>
  <c r="R72" i="5"/>
  <c r="R73" i="5"/>
  <c r="N73" i="5" s="1"/>
  <c r="R74" i="5"/>
  <c r="N74" i="5" s="1"/>
  <c r="W74" i="5" s="1"/>
  <c r="O45" i="5" l="1"/>
  <c r="J39" i="5"/>
  <c r="K39" i="5" s="1"/>
  <c r="J63" i="5"/>
  <c r="K63" i="5" s="1"/>
  <c r="J59" i="5"/>
  <c r="K59" i="5" s="1"/>
  <c r="J51" i="5"/>
  <c r="K51" i="5" s="1"/>
  <c r="J71" i="5"/>
  <c r="K71" i="5" s="1"/>
  <c r="J73" i="5"/>
  <c r="K73" i="5" s="1"/>
  <c r="J57" i="5"/>
  <c r="K57" i="5" s="1"/>
  <c r="Q57" i="5" s="1"/>
  <c r="Y57" i="5" s="1"/>
  <c r="J45" i="5"/>
  <c r="K45" i="5" s="1"/>
  <c r="Q45" i="5" s="1"/>
  <c r="Y45" i="5" s="1"/>
  <c r="J24" i="5"/>
  <c r="K24" i="5" s="1"/>
  <c r="Q24" i="5" s="1"/>
  <c r="Y24" i="5" s="1"/>
  <c r="W57" i="5"/>
  <c r="J69" i="5"/>
  <c r="K69" i="5" s="1"/>
  <c r="J61" i="5"/>
  <c r="K61" i="5" s="1"/>
  <c r="J55" i="5"/>
  <c r="K55" i="5" s="1"/>
  <c r="J43" i="5"/>
  <c r="K43" i="5" s="1"/>
  <c r="J23" i="5"/>
  <c r="K23" i="5" s="1"/>
  <c r="W45" i="5"/>
  <c r="J65" i="5"/>
  <c r="K65" i="5" s="1"/>
  <c r="J53" i="5"/>
  <c r="K53" i="5" s="1"/>
  <c r="J41" i="5"/>
  <c r="K41" i="5" s="1"/>
  <c r="O74" i="5"/>
  <c r="O63" i="5"/>
  <c r="W24" i="5"/>
  <c r="N60" i="5"/>
  <c r="J60" i="5" s="1"/>
  <c r="K60" i="5" s="1"/>
  <c r="N52" i="5"/>
  <c r="J52" i="5" s="1"/>
  <c r="K52" i="5" s="1"/>
  <c r="N40" i="5"/>
  <c r="J40" i="5" s="1"/>
  <c r="K40" i="5" s="1"/>
  <c r="N32" i="5"/>
  <c r="J32" i="5" s="1"/>
  <c r="K32" i="5" s="1"/>
  <c r="N70" i="5"/>
  <c r="J70" i="5" s="1"/>
  <c r="K70" i="5" s="1"/>
  <c r="W61" i="5"/>
  <c r="O61" i="5"/>
  <c r="N58" i="5"/>
  <c r="J58" i="5" s="1"/>
  <c r="K58" i="5" s="1"/>
  <c r="N54" i="5"/>
  <c r="J54" i="5" s="1"/>
  <c r="K54" i="5" s="1"/>
  <c r="N50" i="5"/>
  <c r="J50" i="5" s="1"/>
  <c r="K50" i="5" s="1"/>
  <c r="N42" i="5"/>
  <c r="J42" i="5" s="1"/>
  <c r="K42" i="5" s="1"/>
  <c r="N38" i="5"/>
  <c r="J38" i="5" s="1"/>
  <c r="K38" i="5" s="1"/>
  <c r="N34" i="5"/>
  <c r="J34" i="5" s="1"/>
  <c r="K34" i="5" s="1"/>
  <c r="N30" i="5"/>
  <c r="J30" i="5" s="1"/>
  <c r="K30" i="5" s="1"/>
  <c r="N26" i="5"/>
  <c r="N22" i="5"/>
  <c r="J22" i="5" s="1"/>
  <c r="K22" i="5" s="1"/>
  <c r="N18" i="5"/>
  <c r="J18" i="5" s="1"/>
  <c r="K18" i="5" s="1"/>
  <c r="N14" i="5"/>
  <c r="J14" i="5" s="1"/>
  <c r="K14" i="5" s="1"/>
  <c r="N10" i="5"/>
  <c r="J10" i="5" s="1"/>
  <c r="K10" i="5" s="1"/>
  <c r="N6" i="5"/>
  <c r="J6" i="5" s="1"/>
  <c r="K6" i="5" s="1"/>
  <c r="J67" i="5"/>
  <c r="K67" i="5" s="1"/>
  <c r="W73" i="5"/>
  <c r="O73" i="5"/>
  <c r="N64" i="5"/>
  <c r="N68" i="5"/>
  <c r="O71" i="5"/>
  <c r="O59" i="5"/>
  <c r="O51" i="5"/>
  <c r="O39" i="5"/>
  <c r="O23" i="5"/>
  <c r="N72" i="5"/>
  <c r="J72" i="5" s="1"/>
  <c r="K72" i="5" s="1"/>
  <c r="N56" i="5"/>
  <c r="J56" i="5" s="1"/>
  <c r="K56" i="5" s="1"/>
  <c r="N44" i="5"/>
  <c r="J44" i="5" s="1"/>
  <c r="K44" i="5" s="1"/>
  <c r="N36" i="5"/>
  <c r="J36" i="5" s="1"/>
  <c r="K36" i="5" s="1"/>
  <c r="N28" i="5"/>
  <c r="J28" i="5" s="1"/>
  <c r="K28" i="5" s="1"/>
  <c r="N62" i="5"/>
  <c r="J62" i="5" s="1"/>
  <c r="K62" i="5" s="1"/>
  <c r="N66" i="5"/>
  <c r="N35" i="5"/>
  <c r="J35" i="5" s="1"/>
  <c r="K35" i="5" s="1"/>
  <c r="N31" i="5"/>
  <c r="J31" i="5" s="1"/>
  <c r="K31" i="5" s="1"/>
  <c r="N27" i="5"/>
  <c r="J27" i="5" s="1"/>
  <c r="K27" i="5" s="1"/>
  <c r="N19" i="5"/>
  <c r="N15" i="5"/>
  <c r="N11" i="5"/>
  <c r="N7" i="5"/>
  <c r="O67" i="5"/>
  <c r="O55" i="5"/>
  <c r="O43" i="5"/>
  <c r="N37" i="5"/>
  <c r="N33" i="5"/>
  <c r="N29" i="5"/>
  <c r="N25" i="5"/>
  <c r="N21" i="5"/>
  <c r="J21" i="5" s="1"/>
  <c r="K21" i="5" s="1"/>
  <c r="N17" i="5"/>
  <c r="N13" i="5"/>
  <c r="N9" i="5"/>
  <c r="O69" i="5"/>
  <c r="O65" i="5"/>
  <c r="O53" i="5"/>
  <c r="O41" i="5"/>
  <c r="N16" i="5"/>
  <c r="J16" i="5" s="1"/>
  <c r="K16" i="5" s="1"/>
  <c r="N12" i="5"/>
  <c r="J12" i="5" s="1"/>
  <c r="K12" i="5" s="1"/>
  <c r="N8" i="5"/>
  <c r="J8" i="5" s="1"/>
  <c r="K8" i="5" s="1"/>
  <c r="J74" i="5"/>
  <c r="K74" i="5" s="1"/>
  <c r="Q74" i="5" s="1"/>
  <c r="Y74" i="5" s="1"/>
  <c r="J20" i="5"/>
  <c r="K20" i="5" s="1"/>
  <c r="O20" i="5"/>
  <c r="Q39" i="5" l="1"/>
  <c r="Y39" i="5" s="1"/>
  <c r="Q23" i="5"/>
  <c r="Y23" i="5" s="1"/>
  <c r="Q43" i="5"/>
  <c r="Y43" i="5" s="1"/>
  <c r="S65" i="5"/>
  <c r="Q65" i="5"/>
  <c r="Y65" i="5" s="1"/>
  <c r="Q55" i="5"/>
  <c r="Y55" i="5" s="1"/>
  <c r="S71" i="5"/>
  <c r="T71" i="5" s="1"/>
  <c r="Q71" i="5"/>
  <c r="Y71" i="5" s="1"/>
  <c r="Q61" i="5"/>
  <c r="Y61" i="5" s="1"/>
  <c r="Q51" i="5"/>
  <c r="Y51" i="5" s="1"/>
  <c r="S73" i="5"/>
  <c r="T73" i="5" s="1"/>
  <c r="Q73" i="5"/>
  <c r="Y73" i="5" s="1"/>
  <c r="S67" i="5"/>
  <c r="V67" i="5" s="1"/>
  <c r="X67" i="5" s="1"/>
  <c r="Q67" i="5"/>
  <c r="Y67" i="5" s="1"/>
  <c r="Q41" i="5"/>
  <c r="Y41" i="5" s="1"/>
  <c r="S69" i="5"/>
  <c r="T69" i="5" s="1"/>
  <c r="Q69" i="5"/>
  <c r="Y69" i="5" s="1"/>
  <c r="Q59" i="5"/>
  <c r="Y59" i="5" s="1"/>
  <c r="Q20" i="5"/>
  <c r="Y20" i="5" s="1"/>
  <c r="Q53" i="5"/>
  <c r="Y53" i="5" s="1"/>
  <c r="Q63" i="5"/>
  <c r="Y63" i="5" s="1"/>
  <c r="V65" i="5"/>
  <c r="X65" i="5" s="1"/>
  <c r="T65" i="5"/>
  <c r="K81" i="5"/>
  <c r="J68" i="5"/>
  <c r="K68" i="5" s="1"/>
  <c r="K80" i="5"/>
  <c r="J26" i="5"/>
  <c r="K26" i="5" s="1"/>
  <c r="W13" i="5"/>
  <c r="O13" i="5"/>
  <c r="O29" i="5"/>
  <c r="W29" i="5"/>
  <c r="O37" i="5"/>
  <c r="W37" i="5"/>
  <c r="W7" i="5"/>
  <c r="O7" i="5"/>
  <c r="W15" i="5"/>
  <c r="O15" i="5"/>
  <c r="W66" i="5"/>
  <c r="O66" i="5"/>
  <c r="W64" i="5"/>
  <c r="O64" i="5"/>
  <c r="O8" i="5"/>
  <c r="W8" i="5"/>
  <c r="W16" i="5"/>
  <c r="O16" i="5"/>
  <c r="Q16" i="5" s="1"/>
  <c r="Y16" i="5" s="1"/>
  <c r="J13" i="5"/>
  <c r="K13" i="5" s="1"/>
  <c r="W21" i="5"/>
  <c r="O21" i="5"/>
  <c r="Q21" i="5" s="1"/>
  <c r="Y21" i="5" s="1"/>
  <c r="J29" i="5"/>
  <c r="K29" i="5" s="1"/>
  <c r="Q29" i="5" s="1"/>
  <c r="Y29" i="5" s="1"/>
  <c r="J37" i="5"/>
  <c r="K37" i="5" s="1"/>
  <c r="J7" i="5"/>
  <c r="K7" i="5" s="1"/>
  <c r="J15" i="5"/>
  <c r="K15" i="5" s="1"/>
  <c r="W27" i="5"/>
  <c r="O27" i="5"/>
  <c r="Q27" i="5" s="1"/>
  <c r="Y27" i="5" s="1"/>
  <c r="W35" i="5"/>
  <c r="O35" i="5"/>
  <c r="Q35" i="5" s="1"/>
  <c r="Y35" i="5" s="1"/>
  <c r="W36" i="5"/>
  <c r="O36" i="5"/>
  <c r="Q36" i="5" s="1"/>
  <c r="Y36" i="5" s="1"/>
  <c r="W56" i="5"/>
  <c r="O56" i="5"/>
  <c r="Q56" i="5" s="1"/>
  <c r="Y56" i="5" s="1"/>
  <c r="W6" i="5"/>
  <c r="O6" i="5"/>
  <c r="W14" i="5"/>
  <c r="O14" i="5"/>
  <c r="Q14" i="5" s="1"/>
  <c r="Y14" i="5" s="1"/>
  <c r="W22" i="5"/>
  <c r="O22" i="5"/>
  <c r="Q22" i="5" s="1"/>
  <c r="Y22" i="5" s="1"/>
  <c r="W30" i="5"/>
  <c r="O30" i="5"/>
  <c r="Q30" i="5" s="1"/>
  <c r="Y30" i="5" s="1"/>
  <c r="W38" i="5"/>
  <c r="O38" i="5"/>
  <c r="Q38" i="5" s="1"/>
  <c r="Y38" i="5" s="1"/>
  <c r="W50" i="5"/>
  <c r="O50" i="5"/>
  <c r="Q50" i="5" s="1"/>
  <c r="Y50" i="5" s="1"/>
  <c r="W58" i="5"/>
  <c r="O58" i="5"/>
  <c r="Q58" i="5" s="1"/>
  <c r="Y58" i="5" s="1"/>
  <c r="W32" i="5"/>
  <c r="O32" i="5"/>
  <c r="Q32" i="5" s="1"/>
  <c r="Y32" i="5" s="1"/>
  <c r="W52" i="5"/>
  <c r="O52" i="5"/>
  <c r="Q52" i="5" s="1"/>
  <c r="Y52" i="5" s="1"/>
  <c r="O9" i="5"/>
  <c r="W9" i="5"/>
  <c r="W17" i="5"/>
  <c r="O17" i="5"/>
  <c r="W25" i="5"/>
  <c r="O25" i="5"/>
  <c r="W33" i="5"/>
  <c r="O33" i="5"/>
  <c r="W11" i="5"/>
  <c r="O11" i="5"/>
  <c r="W19" i="5"/>
  <c r="O19" i="5"/>
  <c r="W62" i="5"/>
  <c r="O62" i="5"/>
  <c r="Q62" i="5" s="1"/>
  <c r="Y62" i="5" s="1"/>
  <c r="S72" i="5"/>
  <c r="W68" i="5"/>
  <c r="O68" i="5"/>
  <c r="S70" i="5"/>
  <c r="S74" i="5"/>
  <c r="O12" i="5"/>
  <c r="Q12" i="5" s="1"/>
  <c r="Y12" i="5" s="1"/>
  <c r="W12" i="5"/>
  <c r="J9" i="5"/>
  <c r="K9" i="5" s="1"/>
  <c r="J17" i="5"/>
  <c r="K17" i="5" s="1"/>
  <c r="J25" i="5"/>
  <c r="K25" i="5" s="1"/>
  <c r="J33" i="5"/>
  <c r="K33" i="5" s="1"/>
  <c r="J11" i="5"/>
  <c r="K11" i="5" s="1"/>
  <c r="J19" i="5"/>
  <c r="K19" i="5" s="1"/>
  <c r="W31" i="5"/>
  <c r="O31" i="5"/>
  <c r="Q31" i="5" s="1"/>
  <c r="Y31" i="5" s="1"/>
  <c r="J66" i="5"/>
  <c r="K66" i="5" s="1"/>
  <c r="Q66" i="5" s="1"/>
  <c r="Y66" i="5" s="1"/>
  <c r="W28" i="5"/>
  <c r="O28" i="5"/>
  <c r="Q28" i="5" s="1"/>
  <c r="Y28" i="5" s="1"/>
  <c r="W44" i="5"/>
  <c r="O44" i="5"/>
  <c r="Q44" i="5" s="1"/>
  <c r="Y44" i="5" s="1"/>
  <c r="O72" i="5"/>
  <c r="Q72" i="5" s="1"/>
  <c r="Y72" i="5" s="1"/>
  <c r="W72" i="5"/>
  <c r="J64" i="5"/>
  <c r="K64" i="5" s="1"/>
  <c r="Q64" i="5" s="1"/>
  <c r="Y64" i="5" s="1"/>
  <c r="W10" i="5"/>
  <c r="O10" i="5"/>
  <c r="Q10" i="5" s="1"/>
  <c r="Y10" i="5" s="1"/>
  <c r="W18" i="5"/>
  <c r="O18" i="5"/>
  <c r="Q18" i="5" s="1"/>
  <c r="Y18" i="5" s="1"/>
  <c r="W26" i="5"/>
  <c r="O26" i="5"/>
  <c r="W34" i="5"/>
  <c r="O34" i="5"/>
  <c r="Q34" i="5" s="1"/>
  <c r="Y34" i="5" s="1"/>
  <c r="W42" i="5"/>
  <c r="O42" i="5"/>
  <c r="Q42" i="5" s="1"/>
  <c r="Y42" i="5" s="1"/>
  <c r="W54" i="5"/>
  <c r="O54" i="5"/>
  <c r="Q54" i="5" s="1"/>
  <c r="Y54" i="5" s="1"/>
  <c r="W70" i="5"/>
  <c r="O70" i="5"/>
  <c r="W40" i="5"/>
  <c r="O40" i="5"/>
  <c r="Q40" i="5" s="1"/>
  <c r="Y40" i="5" s="1"/>
  <c r="W60" i="5"/>
  <c r="O60" i="5"/>
  <c r="Q60" i="5" s="1"/>
  <c r="Y60" i="5" s="1"/>
  <c r="Q37" i="5" l="1"/>
  <c r="Y37" i="5" s="1"/>
  <c r="V71" i="5"/>
  <c r="X71" i="5" s="1"/>
  <c r="V69" i="5"/>
  <c r="X69" i="5" s="1"/>
  <c r="Q33" i="5"/>
  <c r="Y33" i="5" s="1"/>
  <c r="V73" i="5"/>
  <c r="X73" i="5" s="1"/>
  <c r="S68" i="5"/>
  <c r="T68" i="5" s="1"/>
  <c r="Q68" i="5"/>
  <c r="Y68" i="5" s="1"/>
  <c r="T67" i="5"/>
  <c r="Q70" i="5"/>
  <c r="Y70" i="5" s="1"/>
  <c r="Q25" i="5"/>
  <c r="Y25" i="5" s="1"/>
  <c r="Q17" i="5"/>
  <c r="Y17" i="5" s="1"/>
  <c r="Q26" i="5"/>
  <c r="Y26" i="5" s="1"/>
  <c r="Q19" i="5"/>
  <c r="Y19" i="5" s="1"/>
  <c r="Q15" i="5"/>
  <c r="Y15" i="5" s="1"/>
  <c r="Q13" i="5"/>
  <c r="Y13" i="5" s="1"/>
  <c r="Q11" i="5"/>
  <c r="Y11" i="5" s="1"/>
  <c r="V74" i="5"/>
  <c r="X74" i="5" s="1"/>
  <c r="T74" i="5"/>
  <c r="V70" i="5"/>
  <c r="X70" i="5" s="1"/>
  <c r="T70" i="5"/>
  <c r="V72" i="5"/>
  <c r="X72" i="5" s="1"/>
  <c r="T72" i="5"/>
  <c r="P67" i="5"/>
  <c r="P65" i="5"/>
  <c r="P73" i="5"/>
  <c r="P72" i="5"/>
  <c r="P74" i="5"/>
  <c r="P69" i="5"/>
  <c r="P71" i="5"/>
  <c r="S66" i="5"/>
  <c r="R5" i="5"/>
  <c r="N5" i="5" s="1"/>
  <c r="K78" i="5" s="1"/>
  <c r="V68" i="5" l="1"/>
  <c r="X68" i="5" s="1"/>
  <c r="P70" i="5"/>
  <c r="V66" i="5"/>
  <c r="X66" i="5" s="1"/>
  <c r="T66" i="5"/>
  <c r="P68" i="5"/>
  <c r="P66" i="5"/>
  <c r="S56" i="5"/>
  <c r="S37" i="5"/>
  <c r="S12" i="5"/>
  <c r="S21" i="5"/>
  <c r="Q6" i="5"/>
  <c r="S6" i="5"/>
  <c r="S13" i="5"/>
  <c r="O5" i="5"/>
  <c r="W5" i="5"/>
  <c r="J5" i="5"/>
  <c r="K5" i="5" s="1"/>
  <c r="Y6" i="5" l="1"/>
  <c r="V13" i="5"/>
  <c r="X13" i="5" s="1"/>
  <c r="T13" i="5"/>
  <c r="V12" i="5"/>
  <c r="X12" i="5" s="1"/>
  <c r="T12" i="5"/>
  <c r="V37" i="5"/>
  <c r="X37" i="5" s="1"/>
  <c r="T37" i="5"/>
  <c r="V6" i="5"/>
  <c r="X6" i="5" s="1"/>
  <c r="T6" i="5"/>
  <c r="V56" i="5"/>
  <c r="X56" i="5" s="1"/>
  <c r="T56" i="5"/>
  <c r="V21" i="5"/>
  <c r="X21" i="5" s="1"/>
  <c r="T21" i="5"/>
  <c r="P6" i="5"/>
  <c r="P56" i="5"/>
  <c r="P12" i="5"/>
  <c r="P21" i="5"/>
  <c r="P37" i="5"/>
  <c r="P13" i="5"/>
  <c r="S42" i="5"/>
  <c r="S61" i="5"/>
  <c r="S39" i="5"/>
  <c r="S20" i="5"/>
  <c r="S29" i="5"/>
  <c r="S34" i="5"/>
  <c r="S51" i="5"/>
  <c r="S40" i="5"/>
  <c r="S55" i="5"/>
  <c r="S50" i="5"/>
  <c r="S30" i="5"/>
  <c r="T30" i="5" s="1"/>
  <c r="S25" i="5"/>
  <c r="S63" i="5"/>
  <c r="S28" i="5"/>
  <c r="S57" i="5"/>
  <c r="Q7" i="5"/>
  <c r="S7" i="5"/>
  <c r="S22" i="5"/>
  <c r="S43" i="5"/>
  <c r="S17" i="5"/>
  <c r="S32" i="5"/>
  <c r="S11" i="5"/>
  <c r="S23" i="5"/>
  <c r="S59" i="5"/>
  <c r="S14" i="5"/>
  <c r="S52" i="5"/>
  <c r="S26" i="5"/>
  <c r="T26" i="5" s="1"/>
  <c r="Q9" i="5"/>
  <c r="Y9" i="5" s="1"/>
  <c r="S9" i="5"/>
  <c r="S36" i="5"/>
  <c r="S58" i="5"/>
  <c r="S15" i="5"/>
  <c r="S41" i="5"/>
  <c r="S33" i="5"/>
  <c r="S62" i="5"/>
  <c r="S27" i="5"/>
  <c r="S60" i="5"/>
  <c r="S31" i="5"/>
  <c r="S44" i="5"/>
  <c r="S19" i="5"/>
  <c r="S24" i="5"/>
  <c r="S35" i="5"/>
  <c r="S54" i="5"/>
  <c r="S64" i="5"/>
  <c r="T64" i="5" s="1"/>
  <c r="S10" i="5"/>
  <c r="S38" i="5"/>
  <c r="S16" i="5"/>
  <c r="S5" i="5"/>
  <c r="T5" i="5" s="1"/>
  <c r="Q5" i="5"/>
  <c r="Y5" i="5" s="1"/>
  <c r="Y7" i="5" l="1"/>
  <c r="V60" i="5"/>
  <c r="X60" i="5" s="1"/>
  <c r="T60" i="5"/>
  <c r="V55" i="5"/>
  <c r="X55" i="5" s="1"/>
  <c r="T55" i="5"/>
  <c r="V34" i="5"/>
  <c r="X34" i="5" s="1"/>
  <c r="T34" i="5"/>
  <c r="V39" i="5"/>
  <c r="X39" i="5" s="1"/>
  <c r="T39" i="5"/>
  <c r="V38" i="5"/>
  <c r="X38" i="5" s="1"/>
  <c r="T38" i="5"/>
  <c r="V27" i="5"/>
  <c r="X27" i="5" s="1"/>
  <c r="T27" i="5"/>
  <c r="V15" i="5"/>
  <c r="X15" i="5" s="1"/>
  <c r="T15" i="5"/>
  <c r="V9" i="5"/>
  <c r="X9" i="5" s="1"/>
  <c r="T9" i="5"/>
  <c r="V14" i="5"/>
  <c r="X14" i="5" s="1"/>
  <c r="T14" i="5"/>
  <c r="V11" i="5"/>
  <c r="X11" i="5" s="1"/>
  <c r="T11" i="5"/>
  <c r="V43" i="5"/>
  <c r="X43" i="5" s="1"/>
  <c r="T43" i="5"/>
  <c r="V57" i="5"/>
  <c r="X57" i="5" s="1"/>
  <c r="T57" i="5"/>
  <c r="V25" i="5"/>
  <c r="X25" i="5" s="1"/>
  <c r="T25" i="5"/>
  <c r="V35" i="5"/>
  <c r="X35" i="5" s="1"/>
  <c r="T35" i="5"/>
  <c r="V44" i="5"/>
  <c r="X44" i="5" s="1"/>
  <c r="T44" i="5"/>
  <c r="V62" i="5"/>
  <c r="X62" i="5" s="1"/>
  <c r="T62" i="5"/>
  <c r="V40" i="5"/>
  <c r="X40" i="5" s="1"/>
  <c r="T40" i="5"/>
  <c r="V29" i="5"/>
  <c r="X29" i="5" s="1"/>
  <c r="T29" i="5"/>
  <c r="V61" i="5"/>
  <c r="X61" i="5" s="1"/>
  <c r="T61" i="5"/>
  <c r="V10" i="5"/>
  <c r="X10" i="5" s="1"/>
  <c r="T10" i="5"/>
  <c r="V58" i="5"/>
  <c r="X58" i="5" s="1"/>
  <c r="T58" i="5"/>
  <c r="V59" i="5"/>
  <c r="X59" i="5" s="1"/>
  <c r="T59" i="5"/>
  <c r="V32" i="5"/>
  <c r="X32" i="5" s="1"/>
  <c r="T32" i="5"/>
  <c r="T81" i="5" s="1"/>
  <c r="V22" i="5"/>
  <c r="X22" i="5" s="1"/>
  <c r="T22" i="5"/>
  <c r="V28" i="5"/>
  <c r="X28" i="5" s="1"/>
  <c r="T28" i="5"/>
  <c r="V54" i="5"/>
  <c r="X54" i="5" s="1"/>
  <c r="T54" i="5"/>
  <c r="V19" i="5"/>
  <c r="X19" i="5" s="1"/>
  <c r="T19" i="5"/>
  <c r="V24" i="5"/>
  <c r="X24" i="5" s="1"/>
  <c r="T24" i="5"/>
  <c r="V31" i="5"/>
  <c r="X31" i="5" s="1"/>
  <c r="T31" i="5"/>
  <c r="V33" i="5"/>
  <c r="X33" i="5" s="1"/>
  <c r="T33" i="5"/>
  <c r="V50" i="5"/>
  <c r="X50" i="5" s="1"/>
  <c r="T50" i="5"/>
  <c r="V51" i="5"/>
  <c r="X51" i="5" s="1"/>
  <c r="T51" i="5"/>
  <c r="V20" i="5"/>
  <c r="X20" i="5" s="1"/>
  <c r="T20" i="5"/>
  <c r="V42" i="5"/>
  <c r="X42" i="5" s="1"/>
  <c r="T42" i="5"/>
  <c r="V16" i="5"/>
  <c r="X16" i="5" s="1"/>
  <c r="T16" i="5"/>
  <c r="V41" i="5"/>
  <c r="X41" i="5" s="1"/>
  <c r="T41" i="5"/>
  <c r="V36" i="5"/>
  <c r="X36" i="5" s="1"/>
  <c r="T36" i="5"/>
  <c r="V52" i="5"/>
  <c r="X52" i="5" s="1"/>
  <c r="T52" i="5"/>
  <c r="V23" i="5"/>
  <c r="X23" i="5" s="1"/>
  <c r="T23" i="5"/>
  <c r="V17" i="5"/>
  <c r="X17" i="5" s="1"/>
  <c r="T17" i="5"/>
  <c r="V7" i="5"/>
  <c r="X7" i="5" s="1"/>
  <c r="T7" i="5"/>
  <c r="V63" i="5"/>
  <c r="X63" i="5" s="1"/>
  <c r="T63" i="5"/>
  <c r="V64" i="5"/>
  <c r="X64" i="5" s="1"/>
  <c r="H81" i="5"/>
  <c r="V30" i="5"/>
  <c r="X30" i="5" s="1"/>
  <c r="H80" i="5"/>
  <c r="P41" i="5"/>
  <c r="P11" i="5"/>
  <c r="P42" i="5"/>
  <c r="P64" i="5"/>
  <c r="P16" i="5"/>
  <c r="P15" i="5"/>
  <c r="P36" i="5"/>
  <c r="P26" i="5"/>
  <c r="P59" i="5"/>
  <c r="P17" i="5"/>
  <c r="P7" i="5"/>
  <c r="P28" i="5"/>
  <c r="P40" i="5"/>
  <c r="P29" i="5"/>
  <c r="P61" i="5"/>
  <c r="P60" i="5"/>
  <c r="P54" i="5"/>
  <c r="P19" i="5"/>
  <c r="P30" i="5"/>
  <c r="P38" i="5"/>
  <c r="P57" i="5"/>
  <c r="P50" i="5"/>
  <c r="P35" i="5"/>
  <c r="P44" i="5"/>
  <c r="P33" i="5"/>
  <c r="P5" i="5"/>
  <c r="P10" i="5"/>
  <c r="P58" i="5"/>
  <c r="P14" i="5"/>
  <c r="P23" i="5"/>
  <c r="P32" i="5"/>
  <c r="P22" i="5"/>
  <c r="P55" i="5"/>
  <c r="P34" i="5"/>
  <c r="P39" i="5"/>
  <c r="P52" i="5"/>
  <c r="P43" i="5"/>
  <c r="P63" i="5"/>
  <c r="P51" i="5"/>
  <c r="P27" i="5"/>
  <c r="P24" i="5"/>
  <c r="P31" i="5"/>
  <c r="P62" i="5"/>
  <c r="P25" i="5"/>
  <c r="P20" i="5"/>
  <c r="P9" i="5"/>
  <c r="V5" i="5"/>
  <c r="X5" i="5" s="1"/>
  <c r="V26" i="5"/>
  <c r="X26" i="5" s="1"/>
  <c r="Q8" i="5"/>
  <c r="S8" i="5"/>
  <c r="S53" i="5"/>
  <c r="S45" i="5"/>
  <c r="T45" i="5" s="1"/>
  <c r="S18" i="5"/>
  <c r="Y8" i="5" l="1"/>
  <c r="T80" i="5"/>
  <c r="I80" i="5" s="1"/>
  <c r="L80" i="5"/>
  <c r="L81" i="5"/>
  <c r="I81" i="5"/>
  <c r="P81" i="5"/>
  <c r="V18" i="5"/>
  <c r="X18" i="5" s="1"/>
  <c r="T18" i="5"/>
  <c r="V8" i="5"/>
  <c r="X8" i="5" s="1"/>
  <c r="T8" i="5"/>
  <c r="V53" i="5"/>
  <c r="X53" i="5" s="1"/>
  <c r="T53" i="5"/>
  <c r="R81" i="5"/>
  <c r="S81" i="5" s="1"/>
  <c r="M80" i="5"/>
  <c r="R80" i="5"/>
  <c r="S80" i="5" s="1"/>
  <c r="P80" i="5"/>
  <c r="V45" i="5"/>
  <c r="X45" i="5" s="1"/>
  <c r="H78" i="5"/>
  <c r="P45" i="5"/>
  <c r="P8" i="5"/>
  <c r="P18" i="5"/>
  <c r="P53" i="5"/>
  <c r="T78" i="5" l="1"/>
  <c r="I78" i="5" s="1"/>
  <c r="M78" i="5"/>
  <c r="P78" i="5"/>
  <c r="P82" i="5" s="1"/>
  <c r="M81" i="5"/>
  <c r="V80" i="5"/>
  <c r="V81" i="5"/>
  <c r="U81" i="5"/>
  <c r="U80" i="5"/>
  <c r="R79" i="5"/>
  <c r="O79" i="5" s="1"/>
  <c r="N79" i="5" s="1"/>
  <c r="L78" i="5"/>
  <c r="P75" i="5"/>
  <c r="W81" i="5" l="1"/>
  <c r="W80" i="5"/>
  <c r="O80" i="5" s="1"/>
  <c r="N80" i="5" s="1"/>
  <c r="O81" i="5"/>
  <c r="N81" i="5" s="1"/>
  <c r="O78" i="5" l="1"/>
  <c r="N78" i="5" s="1"/>
  <c r="O82" i="5" l="1"/>
  <c r="O83" i="5" s="1"/>
</calcChain>
</file>

<file path=xl/sharedStrings.xml><?xml version="1.0" encoding="utf-8"?>
<sst xmlns="http://schemas.openxmlformats.org/spreadsheetml/2006/main" count="377" uniqueCount="130">
  <si>
    <t>SANCO®</t>
  </si>
  <si>
    <t>WICU® Rohr</t>
  </si>
  <si>
    <t>WICU® Flex</t>
  </si>
  <si>
    <t>0045088</t>
  </si>
  <si>
    <t>0045090</t>
  </si>
  <si>
    <t>0045094</t>
  </si>
  <si>
    <t>0045097</t>
  </si>
  <si>
    <t xml:space="preserve">  6x1,0</t>
  </si>
  <si>
    <t>h</t>
  </si>
  <si>
    <t>S</t>
  </si>
  <si>
    <t xml:space="preserve">  8x1,0</t>
  </si>
  <si>
    <t>10x1,0</t>
  </si>
  <si>
    <t>12x1,0</t>
  </si>
  <si>
    <t>15x1,0</t>
  </si>
  <si>
    <t>15x1,5</t>
  </si>
  <si>
    <t>18x1,0</t>
  </si>
  <si>
    <t>18x1,5</t>
  </si>
  <si>
    <t>22x1,0</t>
  </si>
  <si>
    <t>22x1,5</t>
  </si>
  <si>
    <t>28x1,0</t>
  </si>
  <si>
    <t>28x1,5</t>
  </si>
  <si>
    <t>35x1,0</t>
  </si>
  <si>
    <t>35x1,2</t>
  </si>
  <si>
    <t>35x1,5</t>
  </si>
  <si>
    <t>42x1,0</t>
  </si>
  <si>
    <t>42x1,2</t>
  </si>
  <si>
    <t>42x1,5</t>
  </si>
  <si>
    <t>54x1,5</t>
  </si>
  <si>
    <t>54x2,0</t>
  </si>
  <si>
    <t>64x2,0</t>
  </si>
  <si>
    <t>76,1x2,0</t>
  </si>
  <si>
    <t>88,9x2,0</t>
  </si>
  <si>
    <t>108x2,5</t>
  </si>
  <si>
    <t>133x3,0</t>
  </si>
  <si>
    <t>159x3,0</t>
  </si>
  <si>
    <t>219x3,0</t>
  </si>
  <si>
    <t>267x3,0</t>
  </si>
  <si>
    <t>hh</t>
  </si>
  <si>
    <t>6x1,0</t>
  </si>
  <si>
    <t>w</t>
  </si>
  <si>
    <t>R</t>
  </si>
  <si>
    <t>8x1,0</t>
  </si>
  <si>
    <t>Cuprotherm®</t>
  </si>
  <si>
    <t>12x0,7</t>
  </si>
  <si>
    <t>14x0,8</t>
  </si>
  <si>
    <t>CUPROTHERM CTX®</t>
  </si>
  <si>
    <t>14x2,0</t>
  </si>
  <si>
    <t>16x2,0</t>
  </si>
  <si>
    <t>20x2,0</t>
  </si>
  <si>
    <t>26x3,0</t>
  </si>
  <si>
    <t>м</t>
  </si>
  <si>
    <t>кг/м</t>
  </si>
  <si>
    <t>шт.</t>
  </si>
  <si>
    <t>кг</t>
  </si>
  <si>
    <t>Итого:</t>
  </si>
  <si>
    <t>Insgesamt:</t>
  </si>
  <si>
    <t>сборных/gesammelte</t>
  </si>
  <si>
    <t>Grossbunde</t>
  </si>
  <si>
    <t>min</t>
  </si>
  <si>
    <t>Paletten</t>
  </si>
  <si>
    <t>Б. связок</t>
  </si>
  <si>
    <t>Палет</t>
  </si>
  <si>
    <t>Für Stapel und Paletten ist Ladebordwand erforderlich!</t>
  </si>
  <si>
    <t>HME Copper Germany GmbH</t>
  </si>
  <si>
    <t>h - твердая/hart, hh - полутвердая/halbhart,</t>
  </si>
  <si>
    <t xml:space="preserve"> w - мягкая/weich, S - штанга/Stange, R - бухта/Ring</t>
  </si>
  <si>
    <r>
      <t xml:space="preserve">SANCO®  </t>
    </r>
    <r>
      <rPr>
        <sz val="8"/>
        <rFont val="Arial Cyr"/>
        <charset val="204"/>
      </rPr>
      <t>2,5M</t>
    </r>
    <r>
      <rPr>
        <sz val="10"/>
        <rFont val="Arial Cyr"/>
      </rPr>
      <t xml:space="preserve">  </t>
    </r>
  </si>
  <si>
    <r>
      <t xml:space="preserve">SANCO® </t>
    </r>
    <r>
      <rPr>
        <sz val="8"/>
        <rFont val="Arial Cyr"/>
        <charset val="204"/>
      </rPr>
      <t xml:space="preserve"> 2,5M  </t>
    </r>
  </si>
  <si>
    <r>
      <t xml:space="preserve">SANCO®  </t>
    </r>
    <r>
      <rPr>
        <sz val="8"/>
        <rFont val="Arial Cyr"/>
        <charset val="204"/>
      </rPr>
      <t xml:space="preserve">2,5M  </t>
    </r>
  </si>
  <si>
    <r>
      <t xml:space="preserve">SANCO®  </t>
    </r>
    <r>
      <rPr>
        <sz val="8"/>
        <rFont val="Arial Cyr"/>
        <charset val="204"/>
      </rPr>
      <t xml:space="preserve">2,5M </t>
    </r>
    <r>
      <rPr>
        <sz val="10"/>
        <rFont val="Arial Cyr"/>
      </rPr>
      <t xml:space="preserve"> </t>
    </r>
  </si>
  <si>
    <t>2,5m</t>
  </si>
  <si>
    <t>5,0m</t>
  </si>
  <si>
    <t>0,8x0,8m</t>
  </si>
  <si>
    <t>1,0x1,0m</t>
  </si>
  <si>
    <t>gesamte</t>
  </si>
  <si>
    <t>целых/</t>
  </si>
  <si>
    <t>L, m</t>
  </si>
  <si>
    <t>V≈ m3</t>
  </si>
  <si>
    <t>max</t>
  </si>
  <si>
    <t>Для штабеля и палет обязательна перегородка!</t>
  </si>
  <si>
    <t>Reihe</t>
  </si>
  <si>
    <t>рядов/</t>
  </si>
  <si>
    <t>Расчет нагрузки на оси</t>
  </si>
  <si>
    <t>Вес тягача, вкл. топливо, кг</t>
  </si>
  <si>
    <t>Распределение на оси</t>
  </si>
  <si>
    <t>Рулевая ось, кг</t>
  </si>
  <si>
    <t>Ведущая ось, кг</t>
  </si>
  <si>
    <t>Расстояние от седла до ведущей оси, мм</t>
  </si>
  <si>
    <t>Расстояние между осями, мм</t>
  </si>
  <si>
    <t>Вес полуприцепа, мм</t>
  </si>
  <si>
    <t>Расстояние от шкворня до оси 2, мм</t>
  </si>
  <si>
    <t>Расстояние между осями 1 и 2, 2 и 3, мм</t>
  </si>
  <si>
    <t>Нагрузка на рулевую ось</t>
  </si>
  <si>
    <t>на седло</t>
  </si>
  <si>
    <t>на ведущую ось</t>
  </si>
  <si>
    <t>Без п/п</t>
  </si>
  <si>
    <t>Рассояние от шкворня до заднего торца, мм</t>
  </si>
  <si>
    <t>Порожний</t>
  </si>
  <si>
    <t xml:space="preserve">Длина полуприцепа, мм </t>
  </si>
  <si>
    <t>Нагрузка на оси</t>
  </si>
  <si>
    <t>l, м</t>
  </si>
  <si>
    <t>Вес, кг</t>
  </si>
  <si>
    <t>груз 1</t>
  </si>
  <si>
    <t>С грузом</t>
  </si>
  <si>
    <t>груз 2</t>
  </si>
  <si>
    <t>груз 3</t>
  </si>
  <si>
    <t>груз 4</t>
  </si>
  <si>
    <t>груз 5</t>
  </si>
  <si>
    <t>груз 6</t>
  </si>
  <si>
    <t>груз 7</t>
  </si>
  <si>
    <t>груз 8</t>
  </si>
  <si>
    <t>груз 9</t>
  </si>
  <si>
    <t>Примечание. Для данного расчета взяты усредненные данные по тягачу и прицепу. Более точный расчет можно получить, взяв данные (масса, размеры) из Интернета на конкретные марки и модели. По каждому виду груза необходимо внести вес и длину, занимаемую в фуре, по порядку.На практике нагрузки на оси могут оличаться от расчётных.</t>
  </si>
  <si>
    <t>груз 10</t>
  </si>
  <si>
    <t>©Andrey Vinogradov</t>
  </si>
  <si>
    <t>Артикул</t>
  </si>
  <si>
    <t>Позиции</t>
  </si>
  <si>
    <t>Состояние</t>
  </si>
  <si>
    <t>Удельный вес</t>
  </si>
  <si>
    <t>Единица упаковки</t>
  </si>
  <si>
    <t>Кол-во</t>
  </si>
  <si>
    <t>Итого</t>
  </si>
  <si>
    <t>Малая связка/ бухта</t>
  </si>
  <si>
    <t>Большая связка / палета</t>
  </si>
  <si>
    <t>Теоретический вес</t>
  </si>
  <si>
    <t>Общее количество</t>
  </si>
  <si>
    <r>
      <t xml:space="preserve">ВВОД </t>
    </r>
    <r>
      <rPr>
        <b/>
        <sz val="7"/>
        <rFont val="Arial Cyr"/>
        <charset val="204"/>
      </rPr>
      <t>запрашиваемого количества</t>
    </r>
  </si>
  <si>
    <t>Программа поставок сантехнических труб HМЕ 2020</t>
  </si>
  <si>
    <t>Поставка</t>
  </si>
  <si>
    <t>Штанги/бухты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</si>
</sst>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0.0"/>
  </numFmts>
  <fonts count="42" x14ac:knownFonts="1"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 Cyr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 Cyr"/>
    </font>
    <font>
      <sz val="8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10"/>
      <name val="Arial Cyr"/>
      <charset val="204"/>
    </font>
    <font>
      <sz val="10"/>
      <color indexed="12"/>
      <name val="Arial Cyr"/>
      <family val="2"/>
      <charset val="204"/>
    </font>
    <font>
      <sz val="10"/>
      <color indexed="12"/>
      <name val="Arial Cyr"/>
      <charset val="204"/>
    </font>
    <font>
      <b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color theme="1"/>
      <name val="Arial"/>
      <family val="2"/>
    </font>
    <font>
      <b/>
      <sz val="9"/>
      <name val="Arial Cyr"/>
      <family val="2"/>
      <charset val="204"/>
    </font>
    <font>
      <sz val="8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sz val="8"/>
      <name val="Arial Cyr"/>
      <charset val="204"/>
    </font>
    <font>
      <b/>
      <sz val="9"/>
      <color indexed="8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9"/>
      <name val="Arial Cyr"/>
      <charset val="204"/>
    </font>
    <font>
      <sz val="7"/>
      <color indexed="8"/>
      <name val="Arial"/>
      <family val="2"/>
    </font>
    <font>
      <b/>
      <sz val="9"/>
      <name val="Arial Cyr"/>
      <charset val="204"/>
    </font>
    <font>
      <sz val="10"/>
      <color rgb="FF0000FF"/>
      <name val="Arial Cyr"/>
      <family val="2"/>
      <charset val="204"/>
    </font>
    <font>
      <sz val="9"/>
      <color rgb="FF0000FF"/>
      <name val="Arial"/>
      <family val="2"/>
      <charset val="204"/>
    </font>
    <font>
      <b/>
      <sz val="9"/>
      <color rgb="FF0000FF"/>
      <name val="Arial Cyr"/>
      <charset val="204"/>
    </font>
    <font>
      <sz val="9"/>
      <color rgb="FF0000FF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rgb="FF0066FF"/>
      <name val="Arial"/>
      <family val="2"/>
      <charset val="204"/>
    </font>
    <font>
      <i/>
      <sz val="9"/>
      <color theme="1"/>
      <name val="Calibri"/>
      <family val="2"/>
      <charset val="204"/>
    </font>
    <font>
      <b/>
      <sz val="10"/>
      <color rgb="FFFF0000"/>
      <name val="Arial Cyr"/>
      <charset val="204"/>
    </font>
    <font>
      <b/>
      <sz val="7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8" fillId="0" borderId="0"/>
    <xf numFmtId="0" fontId="18" fillId="0" borderId="0"/>
    <xf numFmtId="0" fontId="1" fillId="0" borderId="0"/>
    <xf numFmtId="0" fontId="18" fillId="0" borderId="0"/>
  </cellStyleXfs>
  <cellXfs count="2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Protection="1">
      <protection hidden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12" xfId="0" applyFont="1" applyFill="1" applyBorder="1" applyProtection="1">
      <protection hidden="1"/>
    </xf>
    <xf numFmtId="0" fontId="14" fillId="0" borderId="5" xfId="0" applyFont="1" applyFill="1" applyBorder="1" applyProtection="1">
      <protection hidden="1"/>
    </xf>
    <xf numFmtId="1" fontId="12" fillId="0" borderId="5" xfId="0" applyNumberFormat="1" applyFont="1" applyBorder="1" applyAlignment="1" applyProtection="1">
      <alignment horizontal="right"/>
      <protection hidden="1"/>
    </xf>
    <xf numFmtId="1" fontId="7" fillId="0" borderId="13" xfId="0" applyNumberFormat="1" applyFont="1" applyBorder="1" applyAlignment="1" applyProtection="1">
      <alignment horizontal="right"/>
      <protection hidden="1"/>
    </xf>
    <xf numFmtId="0" fontId="15" fillId="0" borderId="5" xfId="0" applyFont="1" applyFill="1" applyBorder="1" applyProtection="1">
      <protection hidden="1"/>
    </xf>
    <xf numFmtId="1" fontId="12" fillId="0" borderId="5" xfId="0" applyNumberFormat="1" applyFont="1" applyFill="1" applyBorder="1" applyAlignment="1" applyProtection="1">
      <alignment horizontal="right"/>
      <protection hidden="1"/>
    </xf>
    <xf numFmtId="1" fontId="12" fillId="0" borderId="0" xfId="0" applyNumberFormat="1" applyFont="1" applyFill="1" applyBorder="1" applyAlignment="1" applyProtection="1">
      <alignment horizontal="right"/>
      <protection hidden="1"/>
    </xf>
    <xf numFmtId="1" fontId="7" fillId="0" borderId="0" xfId="0" applyNumberFormat="1" applyFont="1" applyFill="1" applyBorder="1" applyAlignment="1" applyProtection="1">
      <alignment horizontal="right"/>
      <protection hidden="1"/>
    </xf>
    <xf numFmtId="166" fontId="7" fillId="0" borderId="0" xfId="0" applyNumberFormat="1" applyFont="1" applyFill="1" applyBorder="1" applyAlignment="1" applyProtection="1">
      <alignment horizontal="right"/>
      <protection hidden="1"/>
    </xf>
    <xf numFmtId="0" fontId="14" fillId="0" borderId="14" xfId="0" applyFont="1" applyFill="1" applyBorder="1" applyProtection="1">
      <protection hidden="1"/>
    </xf>
    <xf numFmtId="0" fontId="14" fillId="0" borderId="1" xfId="0" applyFont="1" applyFill="1" applyBorder="1" applyProtection="1">
      <protection hidden="1"/>
    </xf>
    <xf numFmtId="1" fontId="12" fillId="0" borderId="1" xfId="0" applyNumberFormat="1" applyFont="1" applyBorder="1" applyAlignment="1" applyProtection="1">
      <alignment horizontal="right"/>
      <protection hidden="1"/>
    </xf>
    <xf numFmtId="1" fontId="7" fillId="0" borderId="15" xfId="0" applyNumberFormat="1" applyFont="1" applyBorder="1" applyAlignment="1" applyProtection="1">
      <alignment horizontal="right"/>
      <protection hidden="1"/>
    </xf>
    <xf numFmtId="0" fontId="15" fillId="0" borderId="1" xfId="0" applyFont="1" applyFill="1" applyBorder="1" applyProtection="1">
      <protection hidden="1"/>
    </xf>
    <xf numFmtId="1" fontId="12" fillId="0" borderId="1" xfId="0" applyNumberFormat="1" applyFont="1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7" xfId="0" applyBorder="1" applyProtection="1">
      <protection hidden="1"/>
    </xf>
    <xf numFmtId="1" fontId="12" fillId="0" borderId="10" xfId="0" applyNumberFormat="1" applyFont="1" applyBorder="1" applyAlignment="1" applyProtection="1">
      <alignment horizontal="right"/>
      <protection hidden="1"/>
    </xf>
    <xf numFmtId="1" fontId="7" fillId="0" borderId="18" xfId="0" applyNumberFormat="1" applyFont="1" applyBorder="1" applyAlignment="1" applyProtection="1">
      <alignment horizontal="right"/>
      <protection hidden="1"/>
    </xf>
    <xf numFmtId="0" fontId="15" fillId="0" borderId="10" xfId="0" applyFont="1" applyFill="1" applyBorder="1" applyProtection="1">
      <protection hidden="1"/>
    </xf>
    <xf numFmtId="1" fontId="12" fillId="0" borderId="10" xfId="0" applyNumberFormat="1" applyFont="1" applyFill="1" applyBorder="1" applyAlignment="1" applyProtection="1">
      <alignment horizontal="right"/>
      <protection hidden="1"/>
    </xf>
    <xf numFmtId="0" fontId="14" fillId="0" borderId="10" xfId="0" applyFont="1" applyFill="1" applyBorder="1" applyProtection="1">
      <protection hidden="1"/>
    </xf>
    <xf numFmtId="0" fontId="14" fillId="0" borderId="17" xfId="0" applyFont="1" applyFill="1" applyBorder="1" applyProtection="1">
      <protection hidden="1"/>
    </xf>
    <xf numFmtId="1" fontId="16" fillId="0" borderId="0" xfId="0" applyNumberFormat="1" applyFont="1" applyFill="1" applyBorder="1" applyAlignment="1" applyProtection="1">
      <alignment horizontal="right"/>
      <protection hidden="1"/>
    </xf>
    <xf numFmtId="164" fontId="7" fillId="0" borderId="19" xfId="0" applyNumberFormat="1" applyFont="1" applyFill="1" applyBorder="1" applyProtection="1">
      <protection hidden="1"/>
    </xf>
    <xf numFmtId="164" fontId="7" fillId="0" borderId="20" xfId="0" applyNumberFormat="1" applyFont="1" applyFill="1" applyBorder="1" applyProtection="1">
      <protection hidden="1"/>
    </xf>
    <xf numFmtId="164" fontId="7" fillId="0" borderId="21" xfId="0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164" fontId="4" fillId="0" borderId="20" xfId="0" applyNumberFormat="1" applyFont="1" applyFill="1" applyBorder="1" applyProtection="1">
      <protection hidden="1"/>
    </xf>
    <xf numFmtId="164" fontId="4" fillId="0" borderId="21" xfId="0" applyNumberFormat="1" applyFont="1" applyFill="1" applyBorder="1" applyProtection="1">
      <protection hidden="1"/>
    </xf>
    <xf numFmtId="164" fontId="4" fillId="0" borderId="19" xfId="0" applyNumberFormat="1" applyFont="1" applyFill="1" applyBorder="1" applyProtection="1">
      <protection hidden="1"/>
    </xf>
    <xf numFmtId="0" fontId="5" fillId="0" borderId="0" xfId="0" applyFont="1"/>
    <xf numFmtId="1" fontId="19" fillId="0" borderId="0" xfId="0" applyNumberFormat="1" applyFont="1" applyFill="1" applyBorder="1" applyAlignment="1" applyProtection="1">
      <alignment horizontal="right"/>
      <protection hidden="1"/>
    </xf>
    <xf numFmtId="0" fontId="14" fillId="0" borderId="44" xfId="0" applyFont="1" applyFill="1" applyBorder="1" applyProtection="1">
      <protection hidden="1"/>
    </xf>
    <xf numFmtId="1" fontId="12" fillId="0" borderId="44" xfId="0" applyNumberFormat="1" applyFont="1" applyBorder="1" applyAlignment="1" applyProtection="1">
      <alignment horizontal="right"/>
      <protection hidden="1"/>
    </xf>
    <xf numFmtId="0" fontId="15" fillId="0" borderId="44" xfId="0" applyFont="1" applyFill="1" applyBorder="1" applyProtection="1">
      <protection hidden="1"/>
    </xf>
    <xf numFmtId="1" fontId="12" fillId="0" borderId="44" xfId="0" applyNumberFormat="1" applyFont="1" applyFill="1" applyBorder="1" applyAlignment="1" applyProtection="1">
      <alignment horizontal="right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0" fillId="0" borderId="28" xfId="0" applyFill="1" applyBorder="1" applyAlignment="1" applyProtection="1">
      <alignment horizontal="center"/>
      <protection hidden="1"/>
    </xf>
    <xf numFmtId="0" fontId="0" fillId="0" borderId="29" xfId="0" applyFill="1" applyBorder="1" applyAlignment="1" applyProtection="1">
      <alignment horizontal="center"/>
      <protection hidden="1"/>
    </xf>
    <xf numFmtId="0" fontId="14" fillId="0" borderId="28" xfId="0" applyFont="1" applyFill="1" applyBorder="1" applyProtection="1">
      <protection hidden="1"/>
    </xf>
    <xf numFmtId="1" fontId="7" fillId="0" borderId="29" xfId="0" applyNumberFormat="1" applyFont="1" applyBorder="1" applyAlignment="1" applyProtection="1">
      <alignment horizontal="right"/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4" fillId="0" borderId="32" xfId="0" applyFont="1" applyBorder="1" applyAlignment="1" applyProtection="1">
      <alignment horizontal="center"/>
      <protection hidden="1"/>
    </xf>
    <xf numFmtId="0" fontId="4" fillId="0" borderId="33" xfId="0" applyFont="1" applyBorder="1" applyAlignment="1" applyProtection="1">
      <alignment horizontal="center"/>
      <protection hidden="1"/>
    </xf>
    <xf numFmtId="0" fontId="4" fillId="0" borderId="34" xfId="0" applyFont="1" applyBorder="1" applyAlignment="1" applyProtection="1">
      <alignment horizontal="center"/>
      <protection hidden="1"/>
    </xf>
    <xf numFmtId="0" fontId="8" fillId="0" borderId="33" xfId="0" applyFont="1" applyBorder="1" applyAlignment="1" applyProtection="1">
      <alignment horizontal="center"/>
      <protection hidden="1"/>
    </xf>
    <xf numFmtId="0" fontId="4" fillId="3" borderId="23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/>
      <protection hidden="1"/>
    </xf>
    <xf numFmtId="0" fontId="8" fillId="0" borderId="2" xfId="0" applyFont="1" applyFill="1" applyBorder="1" applyAlignment="1" applyProtection="1">
      <alignment horizontal="center"/>
      <protection hidden="1"/>
    </xf>
    <xf numFmtId="0" fontId="8" fillId="0" borderId="16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7" fillId="0" borderId="11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horizontal="center"/>
      <protection hidden="1"/>
    </xf>
    <xf numFmtId="0" fontId="4" fillId="0" borderId="11" xfId="0" applyFont="1" applyFill="1" applyBorder="1" applyAlignment="1" applyProtection="1">
      <alignment horizontal="center"/>
      <protection hidden="1"/>
    </xf>
    <xf numFmtId="0" fontId="7" fillId="0" borderId="14" xfId="0" applyFont="1" applyFill="1" applyBorder="1" applyAlignment="1" applyProtection="1">
      <alignment horizontal="center"/>
      <protection hidden="1"/>
    </xf>
    <xf numFmtId="0" fontId="7" fillId="0" borderId="15" xfId="0" applyFont="1" applyFill="1" applyBorder="1" applyAlignment="1" applyProtection="1">
      <alignment horizontal="center"/>
      <protection hidden="1"/>
    </xf>
    <xf numFmtId="0" fontId="7" fillId="0" borderId="12" xfId="0" applyFont="1" applyFill="1" applyBorder="1" applyAlignment="1" applyProtection="1">
      <alignment horizontal="center"/>
      <protection hidden="1"/>
    </xf>
    <xf numFmtId="0" fontId="7" fillId="0" borderId="13" xfId="0" applyFont="1" applyFill="1" applyBorder="1" applyAlignment="1" applyProtection="1">
      <alignment horizontal="center"/>
      <protection hidden="1"/>
    </xf>
    <xf numFmtId="0" fontId="7" fillId="0" borderId="17" xfId="0" applyFont="1" applyFill="1" applyBorder="1" applyAlignment="1" applyProtection="1">
      <alignment horizontal="center"/>
      <protection hidden="1"/>
    </xf>
    <xf numFmtId="0" fontId="7" fillId="0" borderId="18" xfId="0" applyFont="1" applyFill="1" applyBorder="1" applyAlignment="1" applyProtection="1">
      <alignment horizontal="center"/>
      <protection hidden="1"/>
    </xf>
    <xf numFmtId="0" fontId="0" fillId="0" borderId="1" xfId="0" applyBorder="1"/>
    <xf numFmtId="166" fontId="7" fillId="0" borderId="6" xfId="0" applyNumberFormat="1" applyFont="1" applyBorder="1" applyAlignment="1" applyProtection="1">
      <alignment horizontal="right"/>
      <protection hidden="1"/>
    </xf>
    <xf numFmtId="166" fontId="7" fillId="0" borderId="8" xfId="0" applyNumberFormat="1" applyFont="1" applyBorder="1" applyAlignment="1" applyProtection="1">
      <alignment horizontal="right"/>
      <protection hidden="1"/>
    </xf>
    <xf numFmtId="166" fontId="7" fillId="0" borderId="3" xfId="0" applyNumberFormat="1" applyFont="1" applyBorder="1" applyAlignment="1" applyProtection="1">
      <alignment horizontal="right"/>
      <protection hidden="1"/>
    </xf>
    <xf numFmtId="164" fontId="4" fillId="0" borderId="46" xfId="0" applyNumberFormat="1" applyFont="1" applyFill="1" applyBorder="1" applyProtection="1">
      <protection hidden="1"/>
    </xf>
    <xf numFmtId="166" fontId="7" fillId="0" borderId="43" xfId="0" applyNumberFormat="1" applyFont="1" applyBorder="1" applyAlignment="1" applyProtection="1">
      <alignment horizontal="right"/>
      <protection hidden="1"/>
    </xf>
    <xf numFmtId="0" fontId="0" fillId="0" borderId="26" xfId="0" applyBorder="1" applyProtection="1">
      <protection hidden="1"/>
    </xf>
    <xf numFmtId="0" fontId="13" fillId="0" borderId="26" xfId="0" applyFont="1" applyBorder="1" applyProtection="1">
      <protection hidden="1"/>
    </xf>
    <xf numFmtId="166" fontId="17" fillId="0" borderId="23" xfId="0" applyNumberFormat="1" applyFont="1" applyBorder="1" applyProtection="1">
      <protection hidden="1"/>
    </xf>
    <xf numFmtId="0" fontId="4" fillId="0" borderId="45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7" fillId="0" borderId="3" xfId="0" applyFont="1" applyFill="1" applyBorder="1" applyAlignment="1" applyProtection="1">
      <alignment horizontal="left"/>
      <protection hidden="1"/>
    </xf>
    <xf numFmtId="0" fontId="7" fillId="0" borderId="6" xfId="0" applyFont="1" applyFill="1" applyBorder="1" applyAlignment="1" applyProtection="1">
      <alignment horizontal="left"/>
      <protection hidden="1"/>
    </xf>
    <xf numFmtId="0" fontId="9" fillId="0" borderId="8" xfId="0" applyFont="1" applyFill="1" applyBorder="1" applyAlignment="1" applyProtection="1">
      <alignment horizontal="left"/>
      <protection hidden="1"/>
    </xf>
    <xf numFmtId="0" fontId="9" fillId="0" borderId="3" xfId="0" applyFont="1" applyFill="1" applyBorder="1" applyAlignment="1" applyProtection="1">
      <alignment horizontal="left"/>
      <protection hidden="1"/>
    </xf>
    <xf numFmtId="0" fontId="9" fillId="0" borderId="6" xfId="0" applyFont="1" applyFill="1" applyBorder="1" applyAlignment="1" applyProtection="1">
      <alignment horizontal="left"/>
      <protection hidden="1"/>
    </xf>
    <xf numFmtId="0" fontId="7" fillId="0" borderId="8" xfId="0" applyFont="1" applyFill="1" applyBorder="1" applyAlignment="1" applyProtection="1">
      <alignment horizontal="left"/>
      <protection hidden="1"/>
    </xf>
    <xf numFmtId="49" fontId="7" fillId="0" borderId="3" xfId="0" applyNumberFormat="1" applyFont="1" applyFill="1" applyBorder="1" applyAlignment="1" applyProtection="1">
      <alignment horizontal="left"/>
      <protection hidden="1"/>
    </xf>
    <xf numFmtId="49" fontId="7" fillId="0" borderId="6" xfId="0" applyNumberFormat="1" applyFont="1" applyFill="1" applyBorder="1" applyAlignment="1" applyProtection="1">
      <alignment horizontal="left"/>
      <protection hidden="1"/>
    </xf>
    <xf numFmtId="49" fontId="7" fillId="0" borderId="8" xfId="0" applyNumberFormat="1" applyFont="1" applyFill="1" applyBorder="1" applyAlignment="1" applyProtection="1">
      <alignment horizontal="left"/>
      <protection hidden="1"/>
    </xf>
    <xf numFmtId="0" fontId="7" fillId="0" borderId="43" xfId="0" applyFont="1" applyFill="1" applyBorder="1" applyAlignment="1" applyProtection="1">
      <alignment horizontal="left"/>
      <protection hidden="1"/>
    </xf>
    <xf numFmtId="0" fontId="5" fillId="0" borderId="25" xfId="0" applyFont="1" applyBorder="1" applyAlignment="1" applyProtection="1">
      <alignment horizontal="center" textRotation="90" wrapText="1"/>
      <protection hidden="1"/>
    </xf>
    <xf numFmtId="0" fontId="4" fillId="4" borderId="3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0" fontId="7" fillId="4" borderId="3" xfId="0" applyFont="1" applyFill="1" applyBorder="1" applyProtection="1">
      <protection locked="0"/>
    </xf>
    <xf numFmtId="0" fontId="7" fillId="4" borderId="6" xfId="0" applyFont="1" applyFill="1" applyBorder="1" applyProtection="1">
      <protection locked="0"/>
    </xf>
    <xf numFmtId="0" fontId="7" fillId="4" borderId="8" xfId="0" applyFont="1" applyFill="1" applyBorder="1" applyProtection="1">
      <protection locked="0"/>
    </xf>
    <xf numFmtId="0" fontId="4" fillId="4" borderId="43" xfId="0" applyFont="1" applyFill="1" applyBorder="1" applyProtection="1">
      <protection locked="0"/>
    </xf>
    <xf numFmtId="0" fontId="8" fillId="5" borderId="16" xfId="0" applyFont="1" applyFill="1" applyBorder="1" applyAlignment="1" applyProtection="1">
      <alignment horizontal="center"/>
      <protection hidden="1"/>
    </xf>
    <xf numFmtId="0" fontId="7" fillId="5" borderId="16" xfId="0" applyFont="1" applyFill="1" applyBorder="1" applyAlignment="1" applyProtection="1">
      <alignment horizontal="center"/>
      <protection hidden="1"/>
    </xf>
    <xf numFmtId="0" fontId="7" fillId="5" borderId="2" xfId="0" applyFont="1" applyFill="1" applyBorder="1" applyAlignment="1" applyProtection="1">
      <alignment horizontal="center"/>
      <protection hidden="1"/>
    </xf>
    <xf numFmtId="0" fontId="4" fillId="5" borderId="16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2" fontId="2" fillId="0" borderId="1" xfId="0" applyNumberFormat="1" applyFont="1" applyBorder="1" applyProtection="1">
      <protection hidden="1"/>
    </xf>
    <xf numFmtId="0" fontId="4" fillId="5" borderId="0" xfId="0" applyFont="1" applyFill="1" applyProtection="1">
      <protection hidden="1"/>
    </xf>
    <xf numFmtId="2" fontId="8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1" fontId="2" fillId="0" borderId="0" xfId="0" applyNumberFormat="1" applyFont="1" applyFill="1" applyBorder="1" applyProtection="1">
      <protection hidden="1"/>
    </xf>
    <xf numFmtId="2" fontId="25" fillId="0" borderId="1" xfId="0" applyNumberFormat="1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2" fontId="27" fillId="0" borderId="1" xfId="0" applyNumberFormat="1" applyFont="1" applyBorder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21" fillId="0" borderId="1" xfId="0" applyFont="1" applyBorder="1" applyProtection="1">
      <protection hidden="1"/>
    </xf>
    <xf numFmtId="1" fontId="21" fillId="0" borderId="1" xfId="0" applyNumberFormat="1" applyFont="1" applyBorder="1" applyProtection="1">
      <protection hidden="1"/>
    </xf>
    <xf numFmtId="2" fontId="21" fillId="0" borderId="1" xfId="0" applyNumberFormat="1" applyFont="1" applyBorder="1" applyProtection="1">
      <protection hidden="1"/>
    </xf>
    <xf numFmtId="2" fontId="8" fillId="0" borderId="0" xfId="0" applyNumberFormat="1" applyFont="1" applyBorder="1" applyProtection="1">
      <protection hidden="1"/>
    </xf>
    <xf numFmtId="0" fontId="7" fillId="0" borderId="4" xfId="0" applyFont="1" applyFill="1" applyBorder="1" applyAlignment="1" applyProtection="1">
      <alignment horizontal="center"/>
      <protection hidden="1"/>
    </xf>
    <xf numFmtId="0" fontId="7" fillId="0" borderId="7" xfId="0" applyFont="1" applyFill="1" applyBorder="1" applyAlignment="1" applyProtection="1">
      <alignment horizontal="center"/>
      <protection hidden="1"/>
    </xf>
    <xf numFmtId="0" fontId="7" fillId="0" borderId="9" xfId="0" applyFont="1" applyFill="1" applyBorder="1" applyAlignment="1" applyProtection="1">
      <alignment horizontal="center"/>
      <protection hidden="1"/>
    </xf>
    <xf numFmtId="0" fontId="7" fillId="0" borderId="30" xfId="0" applyFont="1" applyFill="1" applyBorder="1" applyAlignment="1" applyProtection="1">
      <alignment horizontal="center"/>
      <protection hidden="1"/>
    </xf>
    <xf numFmtId="0" fontId="10" fillId="0" borderId="4" xfId="0" applyFont="1" applyFill="1" applyBorder="1" applyAlignment="1" applyProtection="1">
      <alignment horizontal="center"/>
      <protection hidden="1"/>
    </xf>
    <xf numFmtId="0" fontId="10" fillId="0" borderId="7" xfId="0" applyFont="1" applyFill="1" applyBorder="1" applyAlignment="1" applyProtection="1">
      <alignment horizontal="center"/>
      <protection hidden="1"/>
    </xf>
    <xf numFmtId="0" fontId="10" fillId="0" borderId="9" xfId="0" applyFont="1" applyFill="1" applyBorder="1" applyAlignment="1" applyProtection="1">
      <alignment horizontal="center"/>
      <protection hidden="1"/>
    </xf>
    <xf numFmtId="0" fontId="28" fillId="0" borderId="0" xfId="0" applyFont="1" applyFill="1" applyBorder="1" applyAlignment="1" applyProtection="1">
      <alignment horizontal="center"/>
      <protection hidden="1"/>
    </xf>
    <xf numFmtId="1" fontId="29" fillId="0" borderId="0" xfId="0" applyNumberFormat="1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4" fillId="6" borderId="0" xfId="0" applyFont="1" applyFill="1" applyProtection="1">
      <protection hidden="1"/>
    </xf>
    <xf numFmtId="166" fontId="4" fillId="2" borderId="5" xfId="0" applyNumberFormat="1" applyFont="1" applyFill="1" applyBorder="1" applyProtection="1">
      <protection hidden="1"/>
    </xf>
    <xf numFmtId="0" fontId="4" fillId="0" borderId="5" xfId="0" applyFont="1" applyBorder="1" applyProtection="1">
      <protection hidden="1"/>
    </xf>
    <xf numFmtId="166" fontId="4" fillId="2" borderId="1" xfId="0" applyNumberFormat="1" applyFont="1" applyFill="1" applyBorder="1" applyProtection="1">
      <protection hidden="1"/>
    </xf>
    <xf numFmtId="0" fontId="4" fillId="0" borderId="1" xfId="0" applyFont="1" applyBorder="1" applyProtection="1">
      <protection hidden="1"/>
    </xf>
    <xf numFmtId="166" fontId="4" fillId="2" borderId="10" xfId="0" applyNumberFormat="1" applyFont="1" applyFill="1" applyBorder="1" applyProtection="1">
      <protection hidden="1"/>
    </xf>
    <xf numFmtId="0" fontId="4" fillId="0" borderId="10" xfId="0" applyFont="1" applyBorder="1" applyProtection="1">
      <protection hidden="1"/>
    </xf>
    <xf numFmtId="0" fontId="0" fillId="0" borderId="47" xfId="0" applyBorder="1" applyProtection="1">
      <protection hidden="1"/>
    </xf>
    <xf numFmtId="0" fontId="0" fillId="0" borderId="24" xfId="0" applyBorder="1" applyProtection="1">
      <protection hidden="1"/>
    </xf>
    <xf numFmtId="0" fontId="8" fillId="6" borderId="13" xfId="0" applyFont="1" applyFill="1" applyBorder="1" applyAlignment="1" applyProtection="1">
      <alignment horizontal="center"/>
      <protection hidden="1"/>
    </xf>
    <xf numFmtId="0" fontId="8" fillId="6" borderId="15" xfId="0" applyFont="1" applyFill="1" applyBorder="1" applyAlignment="1" applyProtection="1">
      <alignment horizontal="center"/>
      <protection hidden="1"/>
    </xf>
    <xf numFmtId="0" fontId="8" fillId="6" borderId="18" xfId="0" applyFont="1" applyFill="1" applyBorder="1" applyAlignment="1" applyProtection="1">
      <alignment horizontal="center"/>
      <protection hidden="1"/>
    </xf>
    <xf numFmtId="164" fontId="4" fillId="0" borderId="3" xfId="0" applyNumberFormat="1" applyFont="1" applyFill="1" applyBorder="1" applyProtection="1">
      <protection hidden="1"/>
    </xf>
    <xf numFmtId="164" fontId="4" fillId="0" borderId="6" xfId="0" applyNumberFormat="1" applyFont="1" applyFill="1" applyBorder="1" applyProtection="1">
      <protection hidden="1"/>
    </xf>
    <xf numFmtId="164" fontId="4" fillId="0" borderId="8" xfId="0" applyNumberFormat="1" applyFont="1" applyFill="1" applyBorder="1" applyProtection="1">
      <protection hidden="1"/>
    </xf>
    <xf numFmtId="0" fontId="30" fillId="0" borderId="14" xfId="0" applyFont="1" applyFill="1" applyBorder="1" applyProtection="1">
      <protection hidden="1"/>
    </xf>
    <xf numFmtId="0" fontId="31" fillId="0" borderId="0" xfId="0" applyFont="1" applyProtection="1">
      <protection hidden="1"/>
    </xf>
    <xf numFmtId="0" fontId="31" fillId="0" borderId="0" xfId="0" applyFont="1" applyBorder="1" applyProtection="1">
      <protection hidden="1"/>
    </xf>
    <xf numFmtId="0" fontId="31" fillId="0" borderId="0" xfId="0" applyFont="1" applyFill="1" applyBorder="1" applyProtection="1">
      <protection hidden="1"/>
    </xf>
    <xf numFmtId="166" fontId="32" fillId="0" borderId="0" xfId="0" applyNumberFormat="1" applyFont="1" applyFill="1" applyBorder="1" applyProtection="1">
      <protection hidden="1"/>
    </xf>
    <xf numFmtId="0" fontId="33" fillId="0" borderId="0" xfId="0" applyFont="1" applyFill="1" applyBorder="1" applyProtection="1">
      <protection hidden="1"/>
    </xf>
    <xf numFmtId="0" fontId="31" fillId="0" borderId="0" xfId="0" applyFont="1"/>
    <xf numFmtId="0" fontId="33" fillId="0" borderId="0" xfId="0" applyFont="1" applyProtection="1">
      <protection hidden="1"/>
    </xf>
    <xf numFmtId="0" fontId="4" fillId="0" borderId="26" xfId="0" applyFont="1" applyFill="1" applyBorder="1"/>
    <xf numFmtId="0" fontId="4" fillId="0" borderId="26" xfId="0" applyFont="1" applyBorder="1"/>
    <xf numFmtId="0" fontId="26" fillId="0" borderId="0" xfId="0" applyFont="1" applyAlignment="1" applyProtection="1">
      <alignment horizontal="left"/>
      <protection hidden="1"/>
    </xf>
    <xf numFmtId="0" fontId="35" fillId="0" borderId="0" xfId="0" applyFont="1"/>
    <xf numFmtId="0" fontId="0" fillId="7" borderId="1" xfId="0" applyFill="1" applyBorder="1" applyProtection="1">
      <protection locked="0"/>
    </xf>
    <xf numFmtId="0" fontId="0" fillId="0" borderId="1" xfId="0" applyBorder="1" applyProtection="1">
      <protection hidden="1"/>
    </xf>
    <xf numFmtId="9" fontId="0" fillId="7" borderId="1" xfId="0" applyNumberFormat="1" applyFill="1" applyBorder="1" applyProtection="1">
      <protection locked="0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34" fillId="0" borderId="1" xfId="0" applyFont="1" applyBorder="1" applyProtection="1">
      <protection hidden="1"/>
    </xf>
    <xf numFmtId="1" fontId="0" fillId="0" borderId="1" xfId="0" applyNumberFormat="1" applyBorder="1" applyProtection="1">
      <protection hidden="1"/>
    </xf>
    <xf numFmtId="1" fontId="34" fillId="0" borderId="1" xfId="0" applyNumberFormat="1" applyFont="1" applyBorder="1" applyProtection="1">
      <protection hidden="1"/>
    </xf>
    <xf numFmtId="166" fontId="0" fillId="7" borderId="1" xfId="0" applyNumberFormat="1" applyFill="1" applyBorder="1" applyProtection="1">
      <protection locked="0"/>
    </xf>
    <xf numFmtId="1" fontId="36" fillId="0" borderId="1" xfId="0" applyNumberFormat="1" applyFont="1" applyBorder="1" applyProtection="1">
      <protection hidden="1"/>
    </xf>
    <xf numFmtId="0" fontId="37" fillId="0" borderId="0" xfId="0" applyFont="1" applyProtection="1">
      <protection hidden="1"/>
    </xf>
    <xf numFmtId="166" fontId="0" fillId="0" borderId="0" xfId="0" applyNumberFormat="1" applyProtection="1">
      <protection hidden="1"/>
    </xf>
    <xf numFmtId="0" fontId="39" fillId="4" borderId="0" xfId="0" applyFont="1" applyFill="1" applyProtection="1">
      <protection hidden="1"/>
    </xf>
    <xf numFmtId="1" fontId="40" fillId="0" borderId="0" xfId="0" applyNumberFormat="1" applyFont="1" applyFill="1" applyBorder="1" applyAlignment="1" applyProtection="1">
      <alignment horizontal="left"/>
      <protection hidden="1"/>
    </xf>
    <xf numFmtId="0" fontId="5" fillId="0" borderId="24" xfId="0" applyFont="1" applyBorder="1" applyAlignment="1" applyProtection="1">
      <alignment horizontal="center" textRotation="90" wrapText="1"/>
      <protection hidden="1"/>
    </xf>
    <xf numFmtId="0" fontId="20" fillId="0" borderId="32" xfId="0" applyFont="1" applyBorder="1" applyAlignment="1" applyProtection="1">
      <alignment horizontal="center" vertical="center" wrapText="1"/>
      <protection hidden="1"/>
    </xf>
    <xf numFmtId="0" fontId="20" fillId="0" borderId="33" xfId="0" applyFont="1" applyBorder="1" applyAlignment="1" applyProtection="1">
      <alignment horizontal="center" vertical="center" wrapText="1"/>
      <protection hidden="1"/>
    </xf>
    <xf numFmtId="0" fontId="20" fillId="0" borderId="34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textRotation="90" wrapText="1"/>
      <protection hidden="1"/>
    </xf>
    <xf numFmtId="0" fontId="4" fillId="0" borderId="43" xfId="0" applyFont="1" applyBorder="1" applyAlignment="1" applyProtection="1">
      <alignment horizontal="center" vertical="center" textRotation="90" wrapText="1"/>
      <protection hidden="1"/>
    </xf>
    <xf numFmtId="0" fontId="5" fillId="0" borderId="35" xfId="0" applyFont="1" applyBorder="1" applyAlignment="1" applyProtection="1">
      <alignment horizontal="center" textRotation="90" wrapText="1"/>
      <protection hidden="1"/>
    </xf>
    <xf numFmtId="0" fontId="5" fillId="0" borderId="24" xfId="0" applyFont="1" applyBorder="1" applyAlignment="1" applyProtection="1">
      <alignment horizontal="center" textRotation="90" wrapText="1"/>
      <protection hidden="1"/>
    </xf>
    <xf numFmtId="0" fontId="4" fillId="0" borderId="4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textRotation="90" wrapText="1"/>
    </xf>
    <xf numFmtId="0" fontId="5" fillId="0" borderId="22" xfId="0" applyFont="1" applyBorder="1" applyAlignment="1">
      <alignment horizontal="center" textRotation="90" wrapText="1"/>
    </xf>
    <xf numFmtId="0" fontId="5" fillId="0" borderId="35" xfId="0" applyFont="1" applyBorder="1" applyAlignment="1">
      <alignment horizontal="center" textRotation="90" wrapText="1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38" fillId="0" borderId="0" xfId="0" applyFont="1" applyAlignment="1" applyProtection="1">
      <alignment horizontal="left" vertical="center" wrapText="1"/>
      <protection hidden="1"/>
    </xf>
    <xf numFmtId="0" fontId="5" fillId="0" borderId="41" xfId="0" applyFont="1" applyBorder="1" applyAlignment="1">
      <alignment horizontal="center" textRotation="90" wrapText="1"/>
    </xf>
    <xf numFmtId="0" fontId="5" fillId="0" borderId="36" xfId="0" applyFont="1" applyBorder="1" applyAlignment="1" applyProtection="1">
      <alignment horizontal="center" textRotation="90" wrapText="1"/>
      <protection hidden="1"/>
    </xf>
    <xf numFmtId="0" fontId="5" fillId="0" borderId="38" xfId="0" applyFont="1" applyBorder="1" applyAlignment="1" applyProtection="1">
      <alignment horizontal="center" textRotation="90" wrapText="1"/>
      <protection hidden="1"/>
    </xf>
    <xf numFmtId="0" fontId="2" fillId="4" borderId="31" xfId="0" applyFont="1" applyFill="1" applyBorder="1" applyAlignment="1" applyProtection="1">
      <alignment horizontal="left" textRotation="90" wrapText="1"/>
    </xf>
    <xf numFmtId="0" fontId="2" fillId="4" borderId="22" xfId="0" applyFont="1" applyFill="1" applyBorder="1" applyAlignment="1" applyProtection="1">
      <alignment horizontal="left" textRotation="90" wrapText="1"/>
    </xf>
    <xf numFmtId="0" fontId="0" fillId="0" borderId="4" xfId="0" applyBorder="1" applyProtection="1">
      <protection hidden="1"/>
    </xf>
    <xf numFmtId="0" fontId="0" fillId="0" borderId="30" xfId="0" applyBorder="1" applyProtection="1">
      <protection hidden="1"/>
    </xf>
    <xf numFmtId="0" fontId="4" fillId="0" borderId="9" xfId="0" applyFont="1" applyBorder="1" applyProtection="1">
      <protection hidden="1"/>
    </xf>
    <xf numFmtId="164" fontId="4" fillId="0" borderId="4" xfId="0" applyNumberFormat="1" applyFont="1" applyBorder="1" applyProtection="1">
      <protection hidden="1"/>
    </xf>
    <xf numFmtId="164" fontId="4" fillId="0" borderId="7" xfId="0" applyNumberFormat="1" applyFont="1" applyBorder="1" applyProtection="1">
      <protection hidden="1"/>
    </xf>
    <xf numFmtId="164" fontId="4" fillId="0" borderId="9" xfId="0" applyNumberFormat="1" applyFont="1" applyBorder="1" applyProtection="1">
      <protection hidden="1"/>
    </xf>
    <xf numFmtId="1" fontId="12" fillId="0" borderId="3" xfId="0" applyNumberFormat="1" applyFont="1" applyBorder="1" applyAlignment="1" applyProtection="1">
      <alignment horizontal="right"/>
      <protection hidden="1"/>
    </xf>
    <xf numFmtId="1" fontId="12" fillId="0" borderId="6" xfId="0" applyNumberFormat="1" applyFont="1" applyBorder="1" applyAlignment="1" applyProtection="1">
      <alignment horizontal="right"/>
      <protection hidden="1"/>
    </xf>
    <xf numFmtId="1" fontId="12" fillId="0" borderId="8" xfId="0" applyNumberFormat="1" applyFont="1" applyBorder="1" applyAlignment="1" applyProtection="1">
      <alignment horizontal="right"/>
      <protection hidden="1"/>
    </xf>
    <xf numFmtId="14" fontId="3" fillId="0" borderId="27" xfId="0" applyNumberFormat="1" applyFont="1" applyBorder="1" applyAlignment="1" applyProtection="1">
      <protection hidden="1"/>
    </xf>
    <xf numFmtId="14" fontId="3" fillId="0" borderId="27" xfId="0" applyNumberFormat="1" applyFont="1" applyBorder="1" applyAlignment="1" applyProtection="1">
      <alignment horizontal="center"/>
      <protection hidden="1"/>
    </xf>
    <xf numFmtId="0" fontId="23" fillId="0" borderId="27" xfId="0" applyFont="1" applyBorder="1" applyAlignment="1">
      <alignment horizontal="right" vertical="center"/>
    </xf>
    <xf numFmtId="0" fontId="23" fillId="0" borderId="38" xfId="0" applyFont="1" applyBorder="1" applyAlignment="1">
      <alignment horizontal="right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</cellXfs>
  <cellStyles count="5">
    <cellStyle name="Standard 3" xfId="3" xr:uid="{00000000-0005-0000-0000-000000000000}"/>
    <cellStyle name="Standard 4" xfId="1" xr:uid="{00000000-0005-0000-0000-000001000000}"/>
    <cellStyle name="Standard 4 2" xfId="2" xr:uid="{00000000-0005-0000-0000-000002000000}"/>
    <cellStyle name="Standard 4 2 2" xfId="4" xr:uid="{00000000-0005-0000-0000-000003000000}"/>
    <cellStyle name="Обычный" xfId="0" builtinId="0"/>
  </cellStyles>
  <dxfs count="29"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003399"/>
      <color rgb="FFFFFF99"/>
      <color rgb="FF336699"/>
      <color rgb="FF0066CC"/>
      <color rgb="FF000099"/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75142</xdr:colOff>
      <xdr:row>0</xdr:row>
      <xdr:rowOff>0</xdr:rowOff>
    </xdr:from>
    <xdr:ext cx="8281973" cy="2071158"/>
    <xdr:pic>
      <xdr:nvPicPr>
        <xdr:cNvPr id="6" name="Рисунок 5">
          <a:extLst>
            <a:ext uri="{FF2B5EF4-FFF2-40B4-BE49-F238E27FC236}">
              <a16:creationId xmlns:a16="http://schemas.microsoft.com/office/drawing/2014/main" id="{FC2CAB5E-977B-4131-97F8-7A2538928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8225" y="0"/>
          <a:ext cx="8281973" cy="2071158"/>
        </a:xfrm>
        <a:prstGeom prst="rect">
          <a:avLst/>
        </a:prstGeom>
      </xdr:spPr>
    </xdr:pic>
    <xdr:clientData/>
  </xdr:oneCellAnchor>
  <xdr:oneCellAnchor>
    <xdr:from>
      <xdr:col>9</xdr:col>
      <xdr:colOff>419101</xdr:colOff>
      <xdr:row>2</xdr:row>
      <xdr:rowOff>6338</xdr:rowOff>
    </xdr:from>
    <xdr:ext cx="1452033" cy="516169"/>
    <xdr:pic>
      <xdr:nvPicPr>
        <xdr:cNvPr id="7" name="Рисунок 6">
          <a:extLst>
            <a:ext uri="{FF2B5EF4-FFF2-40B4-BE49-F238E27FC236}">
              <a16:creationId xmlns:a16="http://schemas.microsoft.com/office/drawing/2014/main" id="{330B1385-EB34-436F-BBEF-2CC4415AA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6" y="434963"/>
          <a:ext cx="1447800" cy="518285"/>
        </a:xfrm>
        <a:prstGeom prst="rect">
          <a:avLst/>
        </a:prstGeom>
        <a:solidFill>
          <a:schemeClr val="accent1">
            <a:lumMod val="20000"/>
            <a:lumOff val="80000"/>
            <a:alpha val="28000"/>
          </a:schemeClr>
        </a:solidFill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D107"/>
  <sheetViews>
    <sheetView tabSelected="1" zoomScaleNormal="100" workbookViewId="0">
      <pane ySplit="4" topLeftCell="A5" activePane="bottomLeft" state="frozen"/>
      <selection pane="bottomLeft" activeCell="F5" sqref="F5"/>
    </sheetView>
  </sheetViews>
  <sheetFormatPr defaultColWidth="10" defaultRowHeight="14" x14ac:dyDescent="0.3"/>
  <cols>
    <col min="1" max="1" width="7.75" bestFit="1" customWidth="1"/>
    <col min="2" max="2" width="15.5" bestFit="1" customWidth="1"/>
    <col min="3" max="3" width="7.5" customWidth="1"/>
    <col min="4" max="4" width="3" customWidth="1"/>
    <col min="5" max="5" width="4.25" customWidth="1"/>
    <col min="6" max="6" width="7.58203125" customWidth="1"/>
    <col min="7" max="7" width="6.25" bestFit="1" customWidth="1"/>
    <col min="8" max="10" width="4.58203125" customWidth="1"/>
    <col min="11" max="11" width="6.58203125" customWidth="1"/>
    <col min="12" max="12" width="4.58203125" customWidth="1"/>
    <col min="13" max="13" width="5.58203125" style="6" customWidth="1"/>
    <col min="14" max="14" width="4.58203125" customWidth="1"/>
    <col min="15" max="15" width="7.58203125" customWidth="1"/>
    <col min="16" max="16" width="9.83203125" customWidth="1"/>
    <col min="17" max="17" width="9.6640625" style="3" customWidth="1"/>
    <col min="18" max="18" width="6.5" style="3" hidden="1" customWidth="1"/>
    <col min="19" max="20" width="6.75" style="3" hidden="1" customWidth="1"/>
    <col min="21" max="21" width="6.33203125" style="3" hidden="1" customWidth="1"/>
    <col min="22" max="24" width="5.58203125" style="3" hidden="1" customWidth="1"/>
  </cols>
  <sheetData>
    <row r="1" spans="1:30" ht="18.5" thickBot="1" x14ac:dyDescent="0.45">
      <c r="A1" s="4" t="s">
        <v>127</v>
      </c>
      <c r="G1" s="5"/>
      <c r="K1" s="207"/>
      <c r="L1" s="208">
        <f ca="1">NOW()</f>
        <v>44007.546974537036</v>
      </c>
      <c r="M1" s="208"/>
      <c r="N1" s="207"/>
      <c r="O1" s="209" t="s">
        <v>63</v>
      </c>
      <c r="P1" s="209"/>
      <c r="Q1" s="209"/>
      <c r="R1" s="209"/>
      <c r="S1" s="209"/>
      <c r="T1" s="209"/>
      <c r="U1" s="210"/>
    </row>
    <row r="2" spans="1:30" ht="14.5" thickBot="1" x14ac:dyDescent="0.35">
      <c r="A2" s="216" t="s">
        <v>115</v>
      </c>
      <c r="B2" s="211" t="s">
        <v>116</v>
      </c>
      <c r="C2" s="213"/>
      <c r="D2" s="178" t="s">
        <v>128</v>
      </c>
      <c r="E2" s="179"/>
      <c r="F2" s="196" t="s">
        <v>126</v>
      </c>
      <c r="G2" s="194" t="s">
        <v>118</v>
      </c>
      <c r="H2" s="178" t="s">
        <v>122</v>
      </c>
      <c r="I2" s="179"/>
      <c r="J2" s="179"/>
      <c r="K2" s="180"/>
      <c r="L2" s="178" t="s">
        <v>123</v>
      </c>
      <c r="M2" s="179"/>
      <c r="N2" s="179"/>
      <c r="O2" s="180"/>
      <c r="P2" s="181" t="s">
        <v>124</v>
      </c>
      <c r="Q2" s="181" t="s">
        <v>125</v>
      </c>
      <c r="R2" s="198"/>
      <c r="S2" s="143"/>
      <c r="T2" s="143"/>
      <c r="U2" s="143"/>
      <c r="V2" s="143"/>
      <c r="W2" s="143"/>
      <c r="X2" s="143"/>
    </row>
    <row r="3" spans="1:30" ht="58.5" customHeight="1" thickBot="1" x14ac:dyDescent="0.35">
      <c r="A3" s="186"/>
      <c r="B3" s="185"/>
      <c r="C3" s="214"/>
      <c r="D3" s="189" t="s">
        <v>117</v>
      </c>
      <c r="E3" s="193" t="s">
        <v>129</v>
      </c>
      <c r="F3" s="197"/>
      <c r="G3" s="195"/>
      <c r="H3" s="183" t="s">
        <v>119</v>
      </c>
      <c r="I3" s="184"/>
      <c r="J3" s="177" t="s">
        <v>120</v>
      </c>
      <c r="K3" s="99" t="s">
        <v>121</v>
      </c>
      <c r="L3" s="183" t="s">
        <v>119</v>
      </c>
      <c r="M3" s="184"/>
      <c r="N3" s="177" t="s">
        <v>120</v>
      </c>
      <c r="O3" s="99" t="s">
        <v>121</v>
      </c>
      <c r="P3" s="182"/>
      <c r="Q3" s="182"/>
      <c r="R3" s="199"/>
      <c r="S3" s="144"/>
      <c r="T3" s="144"/>
      <c r="U3" s="144"/>
      <c r="V3" s="144"/>
      <c r="W3" s="144"/>
      <c r="X3" s="144"/>
    </row>
    <row r="4" spans="1:30" ht="12.75" customHeight="1" thickBot="1" x14ac:dyDescent="0.35">
      <c r="A4" s="217"/>
      <c r="B4" s="212"/>
      <c r="C4" s="215"/>
      <c r="D4" s="187"/>
      <c r="E4" s="188"/>
      <c r="F4" s="61" t="s">
        <v>50</v>
      </c>
      <c r="G4" s="56" t="s">
        <v>51</v>
      </c>
      <c r="H4" s="57" t="s">
        <v>52</v>
      </c>
      <c r="I4" s="58" t="s">
        <v>50</v>
      </c>
      <c r="J4" s="58" t="s">
        <v>52</v>
      </c>
      <c r="K4" s="59" t="s">
        <v>50</v>
      </c>
      <c r="L4" s="57" t="s">
        <v>52</v>
      </c>
      <c r="M4" s="60" t="s">
        <v>50</v>
      </c>
      <c r="N4" s="58" t="s">
        <v>52</v>
      </c>
      <c r="O4" s="59" t="s">
        <v>50</v>
      </c>
      <c r="P4" s="56" t="s">
        <v>53</v>
      </c>
      <c r="Q4" s="56" t="s">
        <v>50</v>
      </c>
      <c r="R4" s="200"/>
      <c r="S4" s="142"/>
      <c r="T4" s="142"/>
      <c r="U4" s="142"/>
      <c r="V4" s="142"/>
      <c r="W4" s="142"/>
      <c r="X4" s="142"/>
    </row>
    <row r="5" spans="1:30" x14ac:dyDescent="0.3">
      <c r="A5" s="89">
        <v>7011277</v>
      </c>
      <c r="B5" s="126" t="s">
        <v>0</v>
      </c>
      <c r="C5" s="62" t="s">
        <v>7</v>
      </c>
      <c r="D5" s="46" t="s">
        <v>8</v>
      </c>
      <c r="E5" s="47" t="s">
        <v>9</v>
      </c>
      <c r="F5" s="100"/>
      <c r="G5" s="37">
        <v>0.14000000000000001</v>
      </c>
      <c r="H5" s="7">
        <v>40</v>
      </c>
      <c r="I5" s="8">
        <v>200</v>
      </c>
      <c r="J5" s="9">
        <f t="shared" ref="J5:J36" si="0">ROUND((R5-N5)*M5/I5,0)</f>
        <v>0</v>
      </c>
      <c r="K5" s="10">
        <f>J5*I5</f>
        <v>0</v>
      </c>
      <c r="L5" s="7">
        <v>10</v>
      </c>
      <c r="M5" s="11">
        <v>2000</v>
      </c>
      <c r="N5" s="12">
        <f>ROUND(IF(R5&gt;99.99,LEFT(R5,3),IF(R5&gt;9.99,LEFT(R5,2),LEFT(R5,1))),0)</f>
        <v>0</v>
      </c>
      <c r="O5" s="10">
        <f>N5*M5</f>
        <v>0</v>
      </c>
      <c r="P5" s="78">
        <f t="shared" ref="P5:P36" si="1">G5*Q5</f>
        <v>0</v>
      </c>
      <c r="Q5" s="204">
        <f>K5+O5</f>
        <v>0</v>
      </c>
      <c r="R5" s="201">
        <f t="shared" ref="R5:R36" si="2">ROUND(F5/M5,3)</f>
        <v>0</v>
      </c>
      <c r="S5" s="137">
        <f t="shared" ref="S5:S36" si="3">K5/M5</f>
        <v>0</v>
      </c>
      <c r="T5" s="137">
        <f>IF((S5)&gt;0,1,0)</f>
        <v>0</v>
      </c>
      <c r="U5" s="138">
        <v>0.89600000000000002</v>
      </c>
      <c r="V5" s="138">
        <f t="shared" ref="V5:V36" si="4">S5*U5</f>
        <v>0</v>
      </c>
      <c r="W5" s="138">
        <f t="shared" ref="W5:W36" si="5">N5*U5</f>
        <v>0</v>
      </c>
      <c r="X5" s="138">
        <f>SUM(V5:W5)</f>
        <v>0</v>
      </c>
      <c r="Y5" s="176" t="str">
        <f t="shared" ref="Y5:Y8" si="6">IF(Q5&lt;F5,"Количество меньше вводимого!","")</f>
        <v/>
      </c>
      <c r="AA5" s="13"/>
      <c r="AB5" s="14"/>
      <c r="AC5" s="13"/>
      <c r="AD5" s="15"/>
    </row>
    <row r="6" spans="1:30" ht="12.75" customHeight="1" x14ac:dyDescent="0.3">
      <c r="A6" s="90">
        <v>7011278</v>
      </c>
      <c r="B6" s="127" t="s">
        <v>0</v>
      </c>
      <c r="C6" s="63" t="s">
        <v>10</v>
      </c>
      <c r="D6" s="48" t="s">
        <v>8</v>
      </c>
      <c r="E6" s="49" t="s">
        <v>9</v>
      </c>
      <c r="F6" s="101"/>
      <c r="G6" s="38">
        <v>0.19600000000000001</v>
      </c>
      <c r="H6" s="16">
        <v>40</v>
      </c>
      <c r="I6" s="17">
        <v>200</v>
      </c>
      <c r="J6" s="18">
        <f t="shared" si="0"/>
        <v>0</v>
      </c>
      <c r="K6" s="19">
        <f t="shared" ref="K6:K64" si="7">J6*I6</f>
        <v>0</v>
      </c>
      <c r="L6" s="16">
        <v>10</v>
      </c>
      <c r="M6" s="20">
        <v>2000</v>
      </c>
      <c r="N6" s="21">
        <f t="shared" ref="N6:N64" si="8">ROUND(IF(R6&gt;99.99,LEFT(R6,3),IF(R6&gt;9.99,LEFT(R6,2),LEFT(R6,1))),0)</f>
        <v>0</v>
      </c>
      <c r="O6" s="19">
        <f t="shared" ref="O6:O64" si="9">N6*M6</f>
        <v>0</v>
      </c>
      <c r="P6" s="76">
        <f t="shared" si="1"/>
        <v>0</v>
      </c>
      <c r="Q6" s="205">
        <f t="shared" ref="Q6:Q64" si="10">K6+O6</f>
        <v>0</v>
      </c>
      <c r="R6" s="202">
        <f t="shared" si="2"/>
        <v>0</v>
      </c>
      <c r="S6" s="139">
        <f t="shared" si="3"/>
        <v>0</v>
      </c>
      <c r="T6" s="139">
        <f t="shared" ref="T6:T69" si="11">IF((S6)&gt;0,1,0)</f>
        <v>0</v>
      </c>
      <c r="U6" s="140">
        <v>0.89600000000000002</v>
      </c>
      <c r="V6" s="140">
        <f t="shared" si="4"/>
        <v>0</v>
      </c>
      <c r="W6" s="140">
        <f t="shared" si="5"/>
        <v>0</v>
      </c>
      <c r="X6" s="140">
        <f t="shared" ref="X6:X64" si="12">SUM(V6:W6)</f>
        <v>0</v>
      </c>
      <c r="Y6" s="176" t="str">
        <f t="shared" si="6"/>
        <v/>
      </c>
      <c r="AA6" s="13"/>
      <c r="AB6" s="14"/>
      <c r="AC6" s="13"/>
      <c r="AD6" s="15"/>
    </row>
    <row r="7" spans="1:30" ht="12.75" customHeight="1" x14ac:dyDescent="0.3">
      <c r="A7" s="90">
        <v>7011279</v>
      </c>
      <c r="B7" s="127" t="s">
        <v>0</v>
      </c>
      <c r="C7" s="63" t="s">
        <v>11</v>
      </c>
      <c r="D7" s="48" t="s">
        <v>8</v>
      </c>
      <c r="E7" s="49" t="s">
        <v>9</v>
      </c>
      <c r="F7" s="101"/>
      <c r="G7" s="38">
        <v>0.252</v>
      </c>
      <c r="H7" s="16">
        <v>20</v>
      </c>
      <c r="I7" s="17">
        <v>100</v>
      </c>
      <c r="J7" s="18">
        <f t="shared" si="0"/>
        <v>0</v>
      </c>
      <c r="K7" s="19">
        <f t="shared" si="7"/>
        <v>0</v>
      </c>
      <c r="L7" s="16">
        <v>20</v>
      </c>
      <c r="M7" s="20">
        <v>2000</v>
      </c>
      <c r="N7" s="21">
        <f t="shared" si="8"/>
        <v>0</v>
      </c>
      <c r="O7" s="19">
        <f t="shared" si="9"/>
        <v>0</v>
      </c>
      <c r="P7" s="76">
        <f t="shared" si="1"/>
        <v>0</v>
      </c>
      <c r="Q7" s="205">
        <f t="shared" si="10"/>
        <v>0</v>
      </c>
      <c r="R7" s="202">
        <f t="shared" si="2"/>
        <v>0</v>
      </c>
      <c r="S7" s="139">
        <f t="shared" si="3"/>
        <v>0</v>
      </c>
      <c r="T7" s="139">
        <f t="shared" si="11"/>
        <v>0</v>
      </c>
      <c r="U7" s="140">
        <v>0.89600000000000002</v>
      </c>
      <c r="V7" s="140">
        <f t="shared" si="4"/>
        <v>0</v>
      </c>
      <c r="W7" s="140">
        <f t="shared" si="5"/>
        <v>0</v>
      </c>
      <c r="X7" s="140">
        <f t="shared" si="12"/>
        <v>0</v>
      </c>
      <c r="Y7" s="176" t="str">
        <f t="shared" si="6"/>
        <v/>
      </c>
      <c r="AA7" s="13"/>
      <c r="AB7" s="14"/>
      <c r="AC7" s="13"/>
      <c r="AD7" s="15"/>
    </row>
    <row r="8" spans="1:30" ht="12.75" customHeight="1" x14ac:dyDescent="0.3">
      <c r="A8" s="90">
        <v>7011280</v>
      </c>
      <c r="B8" s="127" t="s">
        <v>0</v>
      </c>
      <c r="C8" s="63" t="s">
        <v>12</v>
      </c>
      <c r="D8" s="48" t="s">
        <v>8</v>
      </c>
      <c r="E8" s="49" t="s">
        <v>9</v>
      </c>
      <c r="F8" s="101"/>
      <c r="G8" s="38">
        <v>0.308</v>
      </c>
      <c r="H8" s="16">
        <v>20</v>
      </c>
      <c r="I8" s="17">
        <v>100</v>
      </c>
      <c r="J8" s="18">
        <f t="shared" si="0"/>
        <v>0</v>
      </c>
      <c r="K8" s="19">
        <f t="shared" si="7"/>
        <v>0</v>
      </c>
      <c r="L8" s="16">
        <v>20</v>
      </c>
      <c r="M8" s="20">
        <v>2000</v>
      </c>
      <c r="N8" s="21">
        <f t="shared" si="8"/>
        <v>0</v>
      </c>
      <c r="O8" s="19">
        <f t="shared" si="9"/>
        <v>0</v>
      </c>
      <c r="P8" s="76">
        <f t="shared" si="1"/>
        <v>0</v>
      </c>
      <c r="Q8" s="205">
        <f t="shared" si="10"/>
        <v>0</v>
      </c>
      <c r="R8" s="202">
        <f t="shared" si="2"/>
        <v>0</v>
      </c>
      <c r="S8" s="139">
        <f t="shared" si="3"/>
        <v>0</v>
      </c>
      <c r="T8" s="139">
        <f t="shared" si="11"/>
        <v>0</v>
      </c>
      <c r="U8" s="140">
        <v>0.89600000000000002</v>
      </c>
      <c r="V8" s="140">
        <f t="shared" si="4"/>
        <v>0</v>
      </c>
      <c r="W8" s="140">
        <f t="shared" si="5"/>
        <v>0</v>
      </c>
      <c r="X8" s="140">
        <f t="shared" si="12"/>
        <v>0</v>
      </c>
      <c r="Y8" s="176" t="str">
        <f t="shared" si="6"/>
        <v/>
      </c>
      <c r="AA8" s="13"/>
      <c r="AB8" s="14"/>
      <c r="AC8" s="13"/>
      <c r="AD8" s="15"/>
    </row>
    <row r="9" spans="1:30" ht="12.75" customHeight="1" x14ac:dyDescent="0.3">
      <c r="A9" s="90">
        <v>7011283</v>
      </c>
      <c r="B9" s="127" t="s">
        <v>0</v>
      </c>
      <c r="C9" s="63" t="s">
        <v>13</v>
      </c>
      <c r="D9" s="48" t="s">
        <v>8</v>
      </c>
      <c r="E9" s="49" t="s">
        <v>9</v>
      </c>
      <c r="F9" s="101"/>
      <c r="G9" s="38">
        <v>0.39100000000000001</v>
      </c>
      <c r="H9" s="16">
        <v>20</v>
      </c>
      <c r="I9" s="17">
        <v>100</v>
      </c>
      <c r="J9" s="18">
        <f t="shared" si="0"/>
        <v>0</v>
      </c>
      <c r="K9" s="19">
        <f t="shared" si="7"/>
        <v>0</v>
      </c>
      <c r="L9" s="16">
        <v>20</v>
      </c>
      <c r="M9" s="20">
        <v>2000</v>
      </c>
      <c r="N9" s="21">
        <f t="shared" si="8"/>
        <v>0</v>
      </c>
      <c r="O9" s="19">
        <f t="shared" si="9"/>
        <v>0</v>
      </c>
      <c r="P9" s="76">
        <f t="shared" si="1"/>
        <v>0</v>
      </c>
      <c r="Q9" s="205">
        <f t="shared" si="10"/>
        <v>0</v>
      </c>
      <c r="R9" s="202">
        <f t="shared" si="2"/>
        <v>0</v>
      </c>
      <c r="S9" s="139">
        <f t="shared" si="3"/>
        <v>0</v>
      </c>
      <c r="T9" s="139">
        <f t="shared" si="11"/>
        <v>0</v>
      </c>
      <c r="U9" s="140">
        <v>0.89600000000000002</v>
      </c>
      <c r="V9" s="140">
        <f t="shared" si="4"/>
        <v>0</v>
      </c>
      <c r="W9" s="140">
        <f t="shared" si="5"/>
        <v>0</v>
      </c>
      <c r="X9" s="140">
        <f t="shared" si="12"/>
        <v>0</v>
      </c>
      <c r="Y9" s="176" t="str">
        <f>IF(Q9&lt;F9,"Количество меньше вводимого!","")</f>
        <v/>
      </c>
      <c r="AA9" s="13"/>
      <c r="AB9" s="14"/>
      <c r="AC9" s="13"/>
      <c r="AD9" s="15"/>
    </row>
    <row r="10" spans="1:30" ht="12.75" customHeight="1" x14ac:dyDescent="0.3">
      <c r="A10" s="90">
        <v>7011289</v>
      </c>
      <c r="B10" s="127" t="s">
        <v>0</v>
      </c>
      <c r="C10" s="63" t="s">
        <v>15</v>
      </c>
      <c r="D10" s="48" t="s">
        <v>8</v>
      </c>
      <c r="E10" s="49" t="s">
        <v>9</v>
      </c>
      <c r="F10" s="101"/>
      <c r="G10" s="38">
        <v>0.47499999999999998</v>
      </c>
      <c r="H10" s="16">
        <v>10</v>
      </c>
      <c r="I10" s="17">
        <v>50</v>
      </c>
      <c r="J10" s="18">
        <f t="shared" si="0"/>
        <v>0</v>
      </c>
      <c r="K10" s="19">
        <f t="shared" si="7"/>
        <v>0</v>
      </c>
      <c r="L10" s="16">
        <v>40</v>
      </c>
      <c r="M10" s="20">
        <v>2000</v>
      </c>
      <c r="N10" s="21">
        <f t="shared" si="8"/>
        <v>0</v>
      </c>
      <c r="O10" s="19">
        <f t="shared" si="9"/>
        <v>0</v>
      </c>
      <c r="P10" s="76">
        <f t="shared" si="1"/>
        <v>0</v>
      </c>
      <c r="Q10" s="205">
        <f t="shared" si="10"/>
        <v>0</v>
      </c>
      <c r="R10" s="202">
        <f t="shared" si="2"/>
        <v>0</v>
      </c>
      <c r="S10" s="139">
        <f t="shared" si="3"/>
        <v>0</v>
      </c>
      <c r="T10" s="139">
        <f t="shared" si="11"/>
        <v>0</v>
      </c>
      <c r="U10" s="140">
        <v>0.89600000000000002</v>
      </c>
      <c r="V10" s="140">
        <f t="shared" si="4"/>
        <v>0</v>
      </c>
      <c r="W10" s="140">
        <f t="shared" si="5"/>
        <v>0</v>
      </c>
      <c r="X10" s="140">
        <f t="shared" si="12"/>
        <v>0</v>
      </c>
      <c r="Y10" s="176" t="str">
        <f t="shared" ref="Y10:Y73" si="13">IF(Q10&lt;F10,"Количество меньше вводимого!","")</f>
        <v/>
      </c>
      <c r="AA10" s="13"/>
      <c r="AB10" s="14"/>
      <c r="AC10" s="13"/>
      <c r="AD10" s="15"/>
    </row>
    <row r="11" spans="1:30" ht="12.75" customHeight="1" x14ac:dyDescent="0.3">
      <c r="A11" s="90">
        <v>7011297</v>
      </c>
      <c r="B11" s="127" t="s">
        <v>0</v>
      </c>
      <c r="C11" s="63" t="s">
        <v>17</v>
      </c>
      <c r="D11" s="48" t="s">
        <v>8</v>
      </c>
      <c r="E11" s="49" t="s">
        <v>9</v>
      </c>
      <c r="F11" s="101"/>
      <c r="G11" s="38">
        <v>0.58699999999999997</v>
      </c>
      <c r="H11" s="16">
        <v>10</v>
      </c>
      <c r="I11" s="17">
        <v>50</v>
      </c>
      <c r="J11" s="18">
        <f t="shared" si="0"/>
        <v>0</v>
      </c>
      <c r="K11" s="19">
        <f t="shared" si="7"/>
        <v>0</v>
      </c>
      <c r="L11" s="16">
        <v>30</v>
      </c>
      <c r="M11" s="20">
        <v>1500</v>
      </c>
      <c r="N11" s="21">
        <f t="shared" si="8"/>
        <v>0</v>
      </c>
      <c r="O11" s="19">
        <f t="shared" si="9"/>
        <v>0</v>
      </c>
      <c r="P11" s="76">
        <f t="shared" si="1"/>
        <v>0</v>
      </c>
      <c r="Q11" s="205">
        <f t="shared" si="10"/>
        <v>0</v>
      </c>
      <c r="R11" s="202">
        <f t="shared" si="2"/>
        <v>0</v>
      </c>
      <c r="S11" s="139">
        <f t="shared" si="3"/>
        <v>0</v>
      </c>
      <c r="T11" s="139">
        <f t="shared" si="11"/>
        <v>0</v>
      </c>
      <c r="U11" s="140">
        <v>0.89600000000000002</v>
      </c>
      <c r="V11" s="140">
        <f t="shared" si="4"/>
        <v>0</v>
      </c>
      <c r="W11" s="140">
        <f t="shared" si="5"/>
        <v>0</v>
      </c>
      <c r="X11" s="140">
        <f t="shared" si="12"/>
        <v>0</v>
      </c>
      <c r="Y11" s="176" t="str">
        <f t="shared" si="13"/>
        <v/>
      </c>
      <c r="AA11" s="13"/>
      <c r="AB11" s="14"/>
      <c r="AC11" s="13"/>
      <c r="AD11" s="15"/>
    </row>
    <row r="12" spans="1:30" ht="12.75" customHeight="1" x14ac:dyDescent="0.3">
      <c r="A12" s="90">
        <v>7011315</v>
      </c>
      <c r="B12" s="127" t="s">
        <v>0</v>
      </c>
      <c r="C12" s="63" t="s">
        <v>19</v>
      </c>
      <c r="D12" s="48" t="s">
        <v>8</v>
      </c>
      <c r="E12" s="49" t="s">
        <v>9</v>
      </c>
      <c r="F12" s="101"/>
      <c r="G12" s="38">
        <v>0.75600000000000001</v>
      </c>
      <c r="H12" s="16">
        <v>5</v>
      </c>
      <c r="I12" s="17">
        <v>25</v>
      </c>
      <c r="J12" s="18">
        <f t="shared" si="0"/>
        <v>0</v>
      </c>
      <c r="K12" s="19">
        <f t="shared" si="7"/>
        <v>0</v>
      </c>
      <c r="L12" s="16">
        <v>30</v>
      </c>
      <c r="M12" s="20">
        <v>750</v>
      </c>
      <c r="N12" s="21">
        <f t="shared" si="8"/>
        <v>0</v>
      </c>
      <c r="O12" s="19">
        <f t="shared" si="9"/>
        <v>0</v>
      </c>
      <c r="P12" s="76">
        <f t="shared" si="1"/>
        <v>0</v>
      </c>
      <c r="Q12" s="205">
        <f t="shared" si="10"/>
        <v>0</v>
      </c>
      <c r="R12" s="202">
        <f t="shared" si="2"/>
        <v>0</v>
      </c>
      <c r="S12" s="139">
        <f t="shared" si="3"/>
        <v>0</v>
      </c>
      <c r="T12" s="139">
        <f t="shared" si="11"/>
        <v>0</v>
      </c>
      <c r="U12" s="140">
        <v>0.89600000000000002</v>
      </c>
      <c r="V12" s="140">
        <f t="shared" si="4"/>
        <v>0</v>
      </c>
      <c r="W12" s="140">
        <f t="shared" si="5"/>
        <v>0</v>
      </c>
      <c r="X12" s="140">
        <f t="shared" si="12"/>
        <v>0</v>
      </c>
      <c r="Y12" s="176" t="str">
        <f t="shared" si="13"/>
        <v/>
      </c>
      <c r="AA12" s="13"/>
      <c r="AB12" s="14"/>
      <c r="AC12" s="13"/>
      <c r="AD12" s="15"/>
    </row>
    <row r="13" spans="1:30" ht="12.75" customHeight="1" x14ac:dyDescent="0.3">
      <c r="A13" s="90">
        <v>7011322</v>
      </c>
      <c r="B13" s="127" t="s">
        <v>0</v>
      </c>
      <c r="C13" s="63" t="s">
        <v>21</v>
      </c>
      <c r="D13" s="48" t="s">
        <v>8</v>
      </c>
      <c r="E13" s="49" t="s">
        <v>9</v>
      </c>
      <c r="F13" s="101"/>
      <c r="G13" s="38">
        <v>0.95099999999999996</v>
      </c>
      <c r="H13" s="16">
        <v>5</v>
      </c>
      <c r="I13" s="17">
        <v>25</v>
      </c>
      <c r="J13" s="18">
        <f t="shared" si="0"/>
        <v>0</v>
      </c>
      <c r="K13" s="19">
        <f t="shared" si="7"/>
        <v>0</v>
      </c>
      <c r="L13" s="16">
        <v>20</v>
      </c>
      <c r="M13" s="20">
        <v>500</v>
      </c>
      <c r="N13" s="21">
        <f t="shared" si="8"/>
        <v>0</v>
      </c>
      <c r="O13" s="19">
        <f t="shared" si="9"/>
        <v>0</v>
      </c>
      <c r="P13" s="76">
        <f t="shared" si="1"/>
        <v>0</v>
      </c>
      <c r="Q13" s="205">
        <f t="shared" si="10"/>
        <v>0</v>
      </c>
      <c r="R13" s="202">
        <f t="shared" si="2"/>
        <v>0</v>
      </c>
      <c r="S13" s="139">
        <f t="shared" si="3"/>
        <v>0</v>
      </c>
      <c r="T13" s="139">
        <f t="shared" si="11"/>
        <v>0</v>
      </c>
      <c r="U13" s="140">
        <v>0.89600000000000002</v>
      </c>
      <c r="V13" s="140">
        <f t="shared" si="4"/>
        <v>0</v>
      </c>
      <c r="W13" s="140">
        <f t="shared" si="5"/>
        <v>0</v>
      </c>
      <c r="X13" s="140">
        <f t="shared" si="12"/>
        <v>0</v>
      </c>
      <c r="Y13" s="176" t="str">
        <f t="shared" si="13"/>
        <v/>
      </c>
      <c r="AA13" s="13"/>
      <c r="AB13" s="14"/>
      <c r="AC13" s="13"/>
      <c r="AD13" s="15"/>
    </row>
    <row r="14" spans="1:30" ht="12.75" customHeight="1" x14ac:dyDescent="0.3">
      <c r="A14" s="90">
        <v>7134770</v>
      </c>
      <c r="B14" s="127" t="s">
        <v>0</v>
      </c>
      <c r="C14" s="63" t="s">
        <v>22</v>
      </c>
      <c r="D14" s="48" t="s">
        <v>8</v>
      </c>
      <c r="E14" s="49" t="s">
        <v>9</v>
      </c>
      <c r="F14" s="101"/>
      <c r="G14" s="38">
        <v>1.1339999999999999</v>
      </c>
      <c r="H14" s="16">
        <v>5</v>
      </c>
      <c r="I14" s="17">
        <v>25</v>
      </c>
      <c r="J14" s="18">
        <f t="shared" si="0"/>
        <v>0</v>
      </c>
      <c r="K14" s="19">
        <f t="shared" si="7"/>
        <v>0</v>
      </c>
      <c r="L14" s="16">
        <v>20</v>
      </c>
      <c r="M14" s="20">
        <v>500</v>
      </c>
      <c r="N14" s="21">
        <f t="shared" si="8"/>
        <v>0</v>
      </c>
      <c r="O14" s="19">
        <f t="shared" si="9"/>
        <v>0</v>
      </c>
      <c r="P14" s="76">
        <f t="shared" si="1"/>
        <v>0</v>
      </c>
      <c r="Q14" s="205">
        <f t="shared" si="10"/>
        <v>0</v>
      </c>
      <c r="R14" s="202">
        <f t="shared" si="2"/>
        <v>0</v>
      </c>
      <c r="S14" s="139">
        <f t="shared" si="3"/>
        <v>0</v>
      </c>
      <c r="T14" s="139">
        <f t="shared" si="11"/>
        <v>0</v>
      </c>
      <c r="U14" s="140">
        <v>0.89600000000000002</v>
      </c>
      <c r="V14" s="140">
        <f t="shared" si="4"/>
        <v>0</v>
      </c>
      <c r="W14" s="140">
        <f t="shared" si="5"/>
        <v>0</v>
      </c>
      <c r="X14" s="140">
        <f t="shared" si="12"/>
        <v>0</v>
      </c>
      <c r="Y14" s="176" t="str">
        <f t="shared" si="13"/>
        <v/>
      </c>
      <c r="AA14" s="13"/>
      <c r="AB14" s="14"/>
      <c r="AC14" s="13"/>
      <c r="AD14" s="15"/>
    </row>
    <row r="15" spans="1:30" ht="12.75" customHeight="1" x14ac:dyDescent="0.3">
      <c r="A15" s="90">
        <v>7011359</v>
      </c>
      <c r="B15" s="127" t="s">
        <v>0</v>
      </c>
      <c r="C15" s="63" t="s">
        <v>24</v>
      </c>
      <c r="D15" s="48" t="s">
        <v>8</v>
      </c>
      <c r="E15" s="49" t="s">
        <v>9</v>
      </c>
      <c r="F15" s="101"/>
      <c r="G15" s="38">
        <v>1.1499999999999999</v>
      </c>
      <c r="H15" s="16">
        <v>5</v>
      </c>
      <c r="I15" s="17">
        <v>25</v>
      </c>
      <c r="J15" s="18">
        <f t="shared" si="0"/>
        <v>0</v>
      </c>
      <c r="K15" s="19">
        <f t="shared" si="7"/>
        <v>0</v>
      </c>
      <c r="L15" s="16">
        <v>20</v>
      </c>
      <c r="M15" s="20">
        <v>500</v>
      </c>
      <c r="N15" s="21">
        <f t="shared" si="8"/>
        <v>0</v>
      </c>
      <c r="O15" s="19">
        <f t="shared" si="9"/>
        <v>0</v>
      </c>
      <c r="P15" s="76">
        <f t="shared" si="1"/>
        <v>0</v>
      </c>
      <c r="Q15" s="205">
        <f t="shared" si="10"/>
        <v>0</v>
      </c>
      <c r="R15" s="202">
        <f t="shared" si="2"/>
        <v>0</v>
      </c>
      <c r="S15" s="139">
        <f t="shared" si="3"/>
        <v>0</v>
      </c>
      <c r="T15" s="139">
        <f t="shared" si="11"/>
        <v>0</v>
      </c>
      <c r="U15" s="140">
        <v>0.89600000000000002</v>
      </c>
      <c r="V15" s="140">
        <f t="shared" si="4"/>
        <v>0</v>
      </c>
      <c r="W15" s="140">
        <f t="shared" si="5"/>
        <v>0</v>
      </c>
      <c r="X15" s="140">
        <f t="shared" si="12"/>
        <v>0</v>
      </c>
      <c r="Y15" s="176" t="str">
        <f t="shared" si="13"/>
        <v/>
      </c>
      <c r="AA15" s="13"/>
      <c r="AB15" s="14"/>
      <c r="AC15" s="13"/>
      <c r="AD15" s="15"/>
    </row>
    <row r="16" spans="1:30" ht="12.75" customHeight="1" x14ac:dyDescent="0.3">
      <c r="A16" s="90">
        <v>7134771</v>
      </c>
      <c r="B16" s="127" t="s">
        <v>0</v>
      </c>
      <c r="C16" s="63" t="s">
        <v>25</v>
      </c>
      <c r="D16" s="48" t="s">
        <v>8</v>
      </c>
      <c r="E16" s="49" t="s">
        <v>9</v>
      </c>
      <c r="F16" s="101"/>
      <c r="G16" s="38">
        <v>1.369</v>
      </c>
      <c r="H16" s="16">
        <v>5</v>
      </c>
      <c r="I16" s="17">
        <v>25</v>
      </c>
      <c r="J16" s="18">
        <f t="shared" si="0"/>
        <v>0</v>
      </c>
      <c r="K16" s="19">
        <f t="shared" si="7"/>
        <v>0</v>
      </c>
      <c r="L16" s="16">
        <v>20</v>
      </c>
      <c r="M16" s="20">
        <v>500</v>
      </c>
      <c r="N16" s="21">
        <f t="shared" si="8"/>
        <v>0</v>
      </c>
      <c r="O16" s="19">
        <f t="shared" si="9"/>
        <v>0</v>
      </c>
      <c r="P16" s="76">
        <f t="shared" si="1"/>
        <v>0</v>
      </c>
      <c r="Q16" s="205">
        <f t="shared" si="10"/>
        <v>0</v>
      </c>
      <c r="R16" s="202">
        <f t="shared" si="2"/>
        <v>0</v>
      </c>
      <c r="S16" s="139">
        <f t="shared" si="3"/>
        <v>0</v>
      </c>
      <c r="T16" s="139">
        <f t="shared" si="11"/>
        <v>0</v>
      </c>
      <c r="U16" s="140">
        <v>0.89600000000000002</v>
      </c>
      <c r="V16" s="140">
        <f t="shared" si="4"/>
        <v>0</v>
      </c>
      <c r="W16" s="140">
        <f t="shared" si="5"/>
        <v>0</v>
      </c>
      <c r="X16" s="140">
        <f t="shared" si="12"/>
        <v>0</v>
      </c>
      <c r="Y16" s="176" t="str">
        <f t="shared" si="13"/>
        <v/>
      </c>
      <c r="AA16" s="13"/>
      <c r="AB16" s="14"/>
      <c r="AC16" s="13"/>
      <c r="AD16" s="15"/>
    </row>
    <row r="17" spans="1:30" ht="14.5" thickBot="1" x14ac:dyDescent="0.35">
      <c r="A17" s="91">
        <v>7134772</v>
      </c>
      <c r="B17" s="128" t="s">
        <v>0</v>
      </c>
      <c r="C17" s="64" t="s">
        <v>27</v>
      </c>
      <c r="D17" s="50" t="s">
        <v>8</v>
      </c>
      <c r="E17" s="51" t="s">
        <v>9</v>
      </c>
      <c r="F17" s="102"/>
      <c r="G17" s="39">
        <v>2.202</v>
      </c>
      <c r="H17" s="31">
        <v>3</v>
      </c>
      <c r="I17" s="30">
        <v>15</v>
      </c>
      <c r="J17" s="26">
        <f t="shared" si="0"/>
        <v>0</v>
      </c>
      <c r="K17" s="27">
        <f t="shared" si="7"/>
        <v>0</v>
      </c>
      <c r="L17" s="31">
        <v>20</v>
      </c>
      <c r="M17" s="28">
        <v>300</v>
      </c>
      <c r="N17" s="29">
        <f t="shared" si="8"/>
        <v>0</v>
      </c>
      <c r="O17" s="27">
        <f t="shared" si="9"/>
        <v>0</v>
      </c>
      <c r="P17" s="77">
        <f t="shared" si="1"/>
        <v>0</v>
      </c>
      <c r="Q17" s="206">
        <f t="shared" si="10"/>
        <v>0</v>
      </c>
      <c r="R17" s="203">
        <f t="shared" si="2"/>
        <v>0</v>
      </c>
      <c r="S17" s="141">
        <f t="shared" si="3"/>
        <v>0</v>
      </c>
      <c r="T17" s="141">
        <f t="shared" si="11"/>
        <v>0</v>
      </c>
      <c r="U17" s="142">
        <v>0.89600000000000002</v>
      </c>
      <c r="V17" s="142">
        <f t="shared" si="4"/>
        <v>0</v>
      </c>
      <c r="W17" s="142">
        <f t="shared" si="5"/>
        <v>0</v>
      </c>
      <c r="X17" s="142">
        <f t="shared" si="12"/>
        <v>0</v>
      </c>
      <c r="Y17" s="176" t="str">
        <f t="shared" si="13"/>
        <v/>
      </c>
      <c r="AA17" s="13"/>
      <c r="AB17" s="14"/>
      <c r="AC17" s="13"/>
      <c r="AD17" s="15"/>
    </row>
    <row r="18" spans="1:30" x14ac:dyDescent="0.3">
      <c r="A18" s="92">
        <v>7134773</v>
      </c>
      <c r="B18" s="126" t="s">
        <v>0</v>
      </c>
      <c r="C18" s="62" t="s">
        <v>29</v>
      </c>
      <c r="D18" s="46" t="s">
        <v>8</v>
      </c>
      <c r="E18" s="47" t="s">
        <v>9</v>
      </c>
      <c r="F18" s="100"/>
      <c r="G18" s="37">
        <v>3.4670000000000001</v>
      </c>
      <c r="H18" s="7">
        <v>1</v>
      </c>
      <c r="I18" s="8">
        <v>5</v>
      </c>
      <c r="J18" s="9">
        <f t="shared" si="0"/>
        <v>0</v>
      </c>
      <c r="K18" s="10">
        <f t="shared" si="7"/>
        <v>0</v>
      </c>
      <c r="L18" s="23"/>
      <c r="M18" s="11">
        <v>145</v>
      </c>
      <c r="N18" s="12">
        <f t="shared" si="8"/>
        <v>0</v>
      </c>
      <c r="O18" s="10">
        <f t="shared" si="9"/>
        <v>0</v>
      </c>
      <c r="P18" s="78">
        <f t="shared" si="1"/>
        <v>0</v>
      </c>
      <c r="Q18" s="204">
        <f t="shared" si="10"/>
        <v>0</v>
      </c>
      <c r="R18" s="201">
        <f t="shared" si="2"/>
        <v>0</v>
      </c>
      <c r="S18" s="137">
        <f t="shared" si="3"/>
        <v>0</v>
      </c>
      <c r="T18" s="137">
        <f t="shared" si="11"/>
        <v>0</v>
      </c>
      <c r="U18" s="138">
        <v>0.89600000000000002</v>
      </c>
      <c r="V18" s="138">
        <f t="shared" si="4"/>
        <v>0</v>
      </c>
      <c r="W18" s="138">
        <f t="shared" si="5"/>
        <v>0</v>
      </c>
      <c r="X18" s="138">
        <f t="shared" si="12"/>
        <v>0</v>
      </c>
      <c r="Y18" s="176" t="str">
        <f t="shared" si="13"/>
        <v/>
      </c>
      <c r="AA18" s="13"/>
      <c r="AB18" s="14"/>
      <c r="AC18" s="13"/>
      <c r="AD18" s="15"/>
    </row>
    <row r="19" spans="1:30" x14ac:dyDescent="0.3">
      <c r="A19" s="93">
        <v>7134774</v>
      </c>
      <c r="B19" s="127" t="s">
        <v>0</v>
      </c>
      <c r="C19" s="63" t="s">
        <v>30</v>
      </c>
      <c r="D19" s="48" t="s">
        <v>8</v>
      </c>
      <c r="E19" s="49" t="s">
        <v>9</v>
      </c>
      <c r="F19" s="101"/>
      <c r="G19" s="38">
        <v>4.1440000000000001</v>
      </c>
      <c r="H19" s="16">
        <v>1</v>
      </c>
      <c r="I19" s="17">
        <v>5</v>
      </c>
      <c r="J19" s="18">
        <f t="shared" si="0"/>
        <v>0</v>
      </c>
      <c r="K19" s="19">
        <f t="shared" si="7"/>
        <v>0</v>
      </c>
      <c r="L19" s="24"/>
      <c r="M19" s="20">
        <v>120</v>
      </c>
      <c r="N19" s="21">
        <f t="shared" si="8"/>
        <v>0</v>
      </c>
      <c r="O19" s="19">
        <f t="shared" si="9"/>
        <v>0</v>
      </c>
      <c r="P19" s="76">
        <f t="shared" si="1"/>
        <v>0</v>
      </c>
      <c r="Q19" s="205">
        <f t="shared" si="10"/>
        <v>0</v>
      </c>
      <c r="R19" s="202">
        <f t="shared" si="2"/>
        <v>0</v>
      </c>
      <c r="S19" s="139">
        <f t="shared" si="3"/>
        <v>0</v>
      </c>
      <c r="T19" s="139">
        <f t="shared" si="11"/>
        <v>0</v>
      </c>
      <c r="U19" s="140">
        <v>0.89600000000000002</v>
      </c>
      <c r="V19" s="140">
        <f t="shared" si="4"/>
        <v>0</v>
      </c>
      <c r="W19" s="140">
        <f t="shared" si="5"/>
        <v>0</v>
      </c>
      <c r="X19" s="140">
        <f t="shared" si="12"/>
        <v>0</v>
      </c>
      <c r="Y19" s="176" t="str">
        <f t="shared" si="13"/>
        <v/>
      </c>
      <c r="AA19" s="13"/>
      <c r="AB19" s="14"/>
      <c r="AC19" s="13"/>
      <c r="AD19" s="15"/>
    </row>
    <row r="20" spans="1:30" x14ac:dyDescent="0.3">
      <c r="A20" s="93">
        <v>7134775</v>
      </c>
      <c r="B20" s="127" t="s">
        <v>0</v>
      </c>
      <c r="C20" s="63" t="s">
        <v>31</v>
      </c>
      <c r="D20" s="48" t="s">
        <v>8</v>
      </c>
      <c r="E20" s="49" t="s">
        <v>9</v>
      </c>
      <c r="F20" s="101"/>
      <c r="G20" s="38">
        <v>4.859</v>
      </c>
      <c r="H20" s="16">
        <v>1</v>
      </c>
      <c r="I20" s="17">
        <v>5</v>
      </c>
      <c r="J20" s="18">
        <f t="shared" si="0"/>
        <v>0</v>
      </c>
      <c r="K20" s="19">
        <f t="shared" si="7"/>
        <v>0</v>
      </c>
      <c r="L20" s="24"/>
      <c r="M20" s="20">
        <v>95</v>
      </c>
      <c r="N20" s="21">
        <f t="shared" si="8"/>
        <v>0</v>
      </c>
      <c r="O20" s="19">
        <f t="shared" si="9"/>
        <v>0</v>
      </c>
      <c r="P20" s="76">
        <f t="shared" si="1"/>
        <v>0</v>
      </c>
      <c r="Q20" s="205">
        <f t="shared" si="10"/>
        <v>0</v>
      </c>
      <c r="R20" s="202">
        <f t="shared" si="2"/>
        <v>0</v>
      </c>
      <c r="S20" s="139">
        <f t="shared" si="3"/>
        <v>0</v>
      </c>
      <c r="T20" s="139">
        <f t="shared" si="11"/>
        <v>0</v>
      </c>
      <c r="U20" s="140">
        <v>0.89600000000000002</v>
      </c>
      <c r="V20" s="140">
        <f t="shared" si="4"/>
        <v>0</v>
      </c>
      <c r="W20" s="140">
        <f t="shared" si="5"/>
        <v>0</v>
      </c>
      <c r="X20" s="140">
        <f t="shared" si="12"/>
        <v>0</v>
      </c>
      <c r="Y20" s="176" t="str">
        <f t="shared" si="13"/>
        <v/>
      </c>
      <c r="AA20" s="13"/>
      <c r="AB20" s="14"/>
      <c r="AC20" s="13"/>
      <c r="AD20" s="15"/>
    </row>
    <row r="21" spans="1:30" x14ac:dyDescent="0.3">
      <c r="A21" s="93">
        <v>7134776</v>
      </c>
      <c r="B21" s="127" t="s">
        <v>0</v>
      </c>
      <c r="C21" s="63" t="s">
        <v>32</v>
      </c>
      <c r="D21" s="48" t="s">
        <v>8</v>
      </c>
      <c r="E21" s="49" t="s">
        <v>9</v>
      </c>
      <c r="F21" s="101"/>
      <c r="G21" s="38">
        <v>7.3739999999999997</v>
      </c>
      <c r="H21" s="16">
        <v>1</v>
      </c>
      <c r="I21" s="17">
        <v>5</v>
      </c>
      <c r="J21" s="18">
        <f t="shared" si="0"/>
        <v>0</v>
      </c>
      <c r="K21" s="19">
        <f t="shared" si="7"/>
        <v>0</v>
      </c>
      <c r="L21" s="24"/>
      <c r="M21" s="20">
        <v>95</v>
      </c>
      <c r="N21" s="21">
        <f t="shared" si="8"/>
        <v>0</v>
      </c>
      <c r="O21" s="19">
        <f t="shared" si="9"/>
        <v>0</v>
      </c>
      <c r="P21" s="76">
        <f t="shared" si="1"/>
        <v>0</v>
      </c>
      <c r="Q21" s="205">
        <f t="shared" si="10"/>
        <v>0</v>
      </c>
      <c r="R21" s="202">
        <f t="shared" si="2"/>
        <v>0</v>
      </c>
      <c r="S21" s="139">
        <f t="shared" si="3"/>
        <v>0</v>
      </c>
      <c r="T21" s="139">
        <f t="shared" si="11"/>
        <v>0</v>
      </c>
      <c r="U21" s="140">
        <v>0.89600000000000002</v>
      </c>
      <c r="V21" s="140">
        <f t="shared" si="4"/>
        <v>0</v>
      </c>
      <c r="W21" s="140">
        <f t="shared" si="5"/>
        <v>0</v>
      </c>
      <c r="X21" s="140">
        <f t="shared" si="12"/>
        <v>0</v>
      </c>
      <c r="Y21" s="176" t="str">
        <f t="shared" si="13"/>
        <v/>
      </c>
      <c r="AA21" s="13"/>
      <c r="AB21" s="14"/>
      <c r="AC21" s="13"/>
      <c r="AD21" s="15"/>
    </row>
    <row r="22" spans="1:30" x14ac:dyDescent="0.3">
      <c r="A22" s="90">
        <v>7011443</v>
      </c>
      <c r="B22" s="127" t="s">
        <v>0</v>
      </c>
      <c r="C22" s="63" t="s">
        <v>33</v>
      </c>
      <c r="D22" s="48" t="s">
        <v>8</v>
      </c>
      <c r="E22" s="49" t="s">
        <v>9</v>
      </c>
      <c r="F22" s="101"/>
      <c r="G22" s="38">
        <v>10.904</v>
      </c>
      <c r="H22" s="16">
        <v>1</v>
      </c>
      <c r="I22" s="17">
        <v>5</v>
      </c>
      <c r="J22" s="18">
        <f t="shared" si="0"/>
        <v>0</v>
      </c>
      <c r="K22" s="19">
        <f t="shared" si="7"/>
        <v>0</v>
      </c>
      <c r="L22" s="24"/>
      <c r="M22" s="20">
        <v>50</v>
      </c>
      <c r="N22" s="21">
        <f t="shared" si="8"/>
        <v>0</v>
      </c>
      <c r="O22" s="19">
        <f t="shared" si="9"/>
        <v>0</v>
      </c>
      <c r="P22" s="76">
        <f t="shared" si="1"/>
        <v>0</v>
      </c>
      <c r="Q22" s="205">
        <f t="shared" si="10"/>
        <v>0</v>
      </c>
      <c r="R22" s="202">
        <f t="shared" si="2"/>
        <v>0</v>
      </c>
      <c r="S22" s="139">
        <f t="shared" si="3"/>
        <v>0</v>
      </c>
      <c r="T22" s="139">
        <f t="shared" si="11"/>
        <v>0</v>
      </c>
      <c r="U22" s="140">
        <v>0.89600000000000002</v>
      </c>
      <c r="V22" s="140">
        <f t="shared" si="4"/>
        <v>0</v>
      </c>
      <c r="W22" s="140">
        <f t="shared" si="5"/>
        <v>0</v>
      </c>
      <c r="X22" s="140">
        <f t="shared" si="12"/>
        <v>0</v>
      </c>
      <c r="Y22" s="176" t="str">
        <f t="shared" si="13"/>
        <v/>
      </c>
      <c r="AA22" s="13"/>
      <c r="AB22" s="14"/>
      <c r="AC22" s="13"/>
      <c r="AD22" s="15"/>
    </row>
    <row r="23" spans="1:30" x14ac:dyDescent="0.3">
      <c r="A23" s="90">
        <v>7011444</v>
      </c>
      <c r="B23" s="127" t="s">
        <v>0</v>
      </c>
      <c r="C23" s="63" t="s">
        <v>34</v>
      </c>
      <c r="D23" s="48" t="s">
        <v>8</v>
      </c>
      <c r="E23" s="49" t="s">
        <v>9</v>
      </c>
      <c r="F23" s="101"/>
      <c r="G23" s="38">
        <v>13.085000000000001</v>
      </c>
      <c r="H23" s="16">
        <v>1</v>
      </c>
      <c r="I23" s="17">
        <v>5</v>
      </c>
      <c r="J23" s="18">
        <f t="shared" si="0"/>
        <v>0</v>
      </c>
      <c r="K23" s="19">
        <f t="shared" si="7"/>
        <v>0</v>
      </c>
      <c r="L23" s="24"/>
      <c r="M23" s="20">
        <v>35</v>
      </c>
      <c r="N23" s="21">
        <f t="shared" si="8"/>
        <v>0</v>
      </c>
      <c r="O23" s="19">
        <f t="shared" si="9"/>
        <v>0</v>
      </c>
      <c r="P23" s="76">
        <f t="shared" si="1"/>
        <v>0</v>
      </c>
      <c r="Q23" s="205">
        <f t="shared" si="10"/>
        <v>0</v>
      </c>
      <c r="R23" s="202">
        <f t="shared" si="2"/>
        <v>0</v>
      </c>
      <c r="S23" s="139">
        <f t="shared" si="3"/>
        <v>0</v>
      </c>
      <c r="T23" s="139">
        <f t="shared" si="11"/>
        <v>0</v>
      </c>
      <c r="U23" s="140">
        <v>0.89600000000000002</v>
      </c>
      <c r="V23" s="140">
        <f t="shared" si="4"/>
        <v>0</v>
      </c>
      <c r="W23" s="140">
        <f t="shared" si="5"/>
        <v>0</v>
      </c>
      <c r="X23" s="140">
        <f t="shared" si="12"/>
        <v>0</v>
      </c>
      <c r="Y23" s="176" t="str">
        <f t="shared" si="13"/>
        <v/>
      </c>
      <c r="AA23" s="13"/>
      <c r="AB23" s="14"/>
      <c r="AC23" s="13"/>
      <c r="AD23" s="15"/>
    </row>
    <row r="24" spans="1:30" x14ac:dyDescent="0.3">
      <c r="A24" s="90">
        <v>7011445</v>
      </c>
      <c r="B24" s="127" t="s">
        <v>0</v>
      </c>
      <c r="C24" s="63" t="s">
        <v>35</v>
      </c>
      <c r="D24" s="48" t="s">
        <v>8</v>
      </c>
      <c r="E24" s="49" t="s">
        <v>9</v>
      </c>
      <c r="F24" s="101"/>
      <c r="G24" s="38">
        <v>18.117999999999999</v>
      </c>
      <c r="H24" s="16">
        <v>1</v>
      </c>
      <c r="I24" s="17">
        <v>5</v>
      </c>
      <c r="J24" s="18">
        <f t="shared" si="0"/>
        <v>0</v>
      </c>
      <c r="K24" s="19">
        <f t="shared" si="7"/>
        <v>0</v>
      </c>
      <c r="L24" s="24"/>
      <c r="M24" s="20">
        <v>15</v>
      </c>
      <c r="N24" s="21">
        <f t="shared" si="8"/>
        <v>0</v>
      </c>
      <c r="O24" s="19">
        <f t="shared" si="9"/>
        <v>0</v>
      </c>
      <c r="P24" s="76">
        <f t="shared" si="1"/>
        <v>0</v>
      </c>
      <c r="Q24" s="205">
        <f t="shared" si="10"/>
        <v>0</v>
      </c>
      <c r="R24" s="202">
        <f t="shared" si="2"/>
        <v>0</v>
      </c>
      <c r="S24" s="139">
        <f t="shared" si="3"/>
        <v>0</v>
      </c>
      <c r="T24" s="139">
        <f t="shared" si="11"/>
        <v>0</v>
      </c>
      <c r="U24" s="140">
        <v>0.89600000000000002</v>
      </c>
      <c r="V24" s="140">
        <f t="shared" si="4"/>
        <v>0</v>
      </c>
      <c r="W24" s="140">
        <f t="shared" si="5"/>
        <v>0</v>
      </c>
      <c r="X24" s="140">
        <f t="shared" si="12"/>
        <v>0</v>
      </c>
      <c r="Y24" s="176" t="str">
        <f t="shared" si="13"/>
        <v/>
      </c>
      <c r="AA24" s="13"/>
      <c r="AB24" s="14"/>
      <c r="AC24" s="13"/>
      <c r="AD24" s="15"/>
    </row>
    <row r="25" spans="1:30" ht="14.5" thickBot="1" x14ac:dyDescent="0.35">
      <c r="A25" s="94">
        <v>7011446</v>
      </c>
      <c r="B25" s="128" t="s">
        <v>0</v>
      </c>
      <c r="C25" s="64" t="s">
        <v>36</v>
      </c>
      <c r="D25" s="50" t="s">
        <v>8</v>
      </c>
      <c r="E25" s="51" t="s">
        <v>9</v>
      </c>
      <c r="F25" s="102"/>
      <c r="G25" s="39">
        <v>22.143999999999998</v>
      </c>
      <c r="H25" s="31">
        <v>1</v>
      </c>
      <c r="I25" s="30">
        <v>5</v>
      </c>
      <c r="J25" s="26">
        <f t="shared" si="0"/>
        <v>0</v>
      </c>
      <c r="K25" s="27">
        <f t="shared" si="7"/>
        <v>0</v>
      </c>
      <c r="L25" s="25"/>
      <c r="M25" s="28">
        <v>15</v>
      </c>
      <c r="N25" s="29">
        <f t="shared" si="8"/>
        <v>0</v>
      </c>
      <c r="O25" s="27">
        <f t="shared" si="9"/>
        <v>0</v>
      </c>
      <c r="P25" s="77">
        <f t="shared" si="1"/>
        <v>0</v>
      </c>
      <c r="Q25" s="206">
        <f t="shared" si="10"/>
        <v>0</v>
      </c>
      <c r="R25" s="203">
        <f t="shared" si="2"/>
        <v>0</v>
      </c>
      <c r="S25" s="141">
        <f t="shared" si="3"/>
        <v>0</v>
      </c>
      <c r="T25" s="141">
        <f t="shared" si="11"/>
        <v>0</v>
      </c>
      <c r="U25" s="142">
        <v>0.89600000000000002</v>
      </c>
      <c r="V25" s="142">
        <f t="shared" si="4"/>
        <v>0</v>
      </c>
      <c r="W25" s="142">
        <f t="shared" si="5"/>
        <v>0</v>
      </c>
      <c r="X25" s="142">
        <f t="shared" si="12"/>
        <v>0</v>
      </c>
      <c r="Y25" s="176" t="str">
        <f t="shared" si="13"/>
        <v/>
      </c>
      <c r="AA25" s="13"/>
      <c r="AB25" s="14"/>
      <c r="AC25" s="13"/>
      <c r="AD25" s="15"/>
    </row>
    <row r="26" spans="1:30" x14ac:dyDescent="0.3">
      <c r="A26" s="89">
        <v>7011218</v>
      </c>
      <c r="B26" s="126" t="s">
        <v>0</v>
      </c>
      <c r="C26" s="62" t="s">
        <v>38</v>
      </c>
      <c r="D26" s="46" t="s">
        <v>39</v>
      </c>
      <c r="E26" s="47" t="s">
        <v>40</v>
      </c>
      <c r="F26" s="100"/>
      <c r="G26" s="37">
        <v>0.14000000000000001</v>
      </c>
      <c r="H26" s="7">
        <v>1</v>
      </c>
      <c r="I26" s="8">
        <v>50</v>
      </c>
      <c r="J26" s="9">
        <f t="shared" si="0"/>
        <v>0</v>
      </c>
      <c r="K26" s="10">
        <f t="shared" si="7"/>
        <v>0</v>
      </c>
      <c r="L26" s="7">
        <v>35</v>
      </c>
      <c r="M26" s="11">
        <v>1750</v>
      </c>
      <c r="N26" s="12">
        <f t="shared" si="8"/>
        <v>0</v>
      </c>
      <c r="O26" s="10">
        <f t="shared" si="9"/>
        <v>0</v>
      </c>
      <c r="P26" s="78">
        <f t="shared" si="1"/>
        <v>0</v>
      </c>
      <c r="Q26" s="204">
        <f t="shared" si="10"/>
        <v>0</v>
      </c>
      <c r="R26" s="201">
        <f t="shared" si="2"/>
        <v>0</v>
      </c>
      <c r="S26" s="137">
        <f t="shared" si="3"/>
        <v>0</v>
      </c>
      <c r="T26" s="137">
        <f t="shared" si="11"/>
        <v>0</v>
      </c>
      <c r="U26" s="138">
        <v>0.89600000000000002</v>
      </c>
      <c r="V26" s="138">
        <f t="shared" si="4"/>
        <v>0</v>
      </c>
      <c r="W26" s="138">
        <f t="shared" si="5"/>
        <v>0</v>
      </c>
      <c r="X26" s="138">
        <f t="shared" si="12"/>
        <v>0</v>
      </c>
      <c r="Y26" s="176" t="str">
        <f t="shared" si="13"/>
        <v/>
      </c>
      <c r="AA26" s="13"/>
      <c r="AB26" s="14"/>
      <c r="AC26" s="13"/>
      <c r="AD26" s="15"/>
    </row>
    <row r="27" spans="1:30" x14ac:dyDescent="0.3">
      <c r="A27" s="90">
        <v>7011219</v>
      </c>
      <c r="B27" s="127" t="s">
        <v>0</v>
      </c>
      <c r="C27" s="63" t="s">
        <v>41</v>
      </c>
      <c r="D27" s="48" t="s">
        <v>39</v>
      </c>
      <c r="E27" s="49" t="s">
        <v>40</v>
      </c>
      <c r="F27" s="101"/>
      <c r="G27" s="38">
        <v>0.19600000000000001</v>
      </c>
      <c r="H27" s="16">
        <v>1</v>
      </c>
      <c r="I27" s="17">
        <v>50</v>
      </c>
      <c r="J27" s="18">
        <f t="shared" si="0"/>
        <v>0</v>
      </c>
      <c r="K27" s="19">
        <f t="shared" si="7"/>
        <v>0</v>
      </c>
      <c r="L27" s="16">
        <v>35</v>
      </c>
      <c r="M27" s="20">
        <v>1750</v>
      </c>
      <c r="N27" s="21">
        <f t="shared" si="8"/>
        <v>0</v>
      </c>
      <c r="O27" s="19">
        <f t="shared" si="9"/>
        <v>0</v>
      </c>
      <c r="P27" s="76">
        <f t="shared" si="1"/>
        <v>0</v>
      </c>
      <c r="Q27" s="205">
        <f t="shared" si="10"/>
        <v>0</v>
      </c>
      <c r="R27" s="202">
        <f t="shared" si="2"/>
        <v>0</v>
      </c>
      <c r="S27" s="139">
        <f t="shared" si="3"/>
        <v>0</v>
      </c>
      <c r="T27" s="139">
        <f t="shared" si="11"/>
        <v>0</v>
      </c>
      <c r="U27" s="140">
        <v>0.89600000000000002</v>
      </c>
      <c r="V27" s="140">
        <f t="shared" si="4"/>
        <v>0</v>
      </c>
      <c r="W27" s="140">
        <f t="shared" si="5"/>
        <v>0</v>
      </c>
      <c r="X27" s="140">
        <f t="shared" si="12"/>
        <v>0</v>
      </c>
      <c r="Y27" s="176" t="str">
        <f t="shared" si="13"/>
        <v/>
      </c>
      <c r="AA27" s="13"/>
      <c r="AB27" s="14"/>
      <c r="AC27" s="13"/>
      <c r="AD27" s="15"/>
    </row>
    <row r="28" spans="1:30" x14ac:dyDescent="0.3">
      <c r="A28" s="90">
        <v>7011220</v>
      </c>
      <c r="B28" s="127" t="s">
        <v>0</v>
      </c>
      <c r="C28" s="63" t="s">
        <v>11</v>
      </c>
      <c r="D28" s="48" t="s">
        <v>39</v>
      </c>
      <c r="E28" s="49" t="s">
        <v>40</v>
      </c>
      <c r="F28" s="101"/>
      <c r="G28" s="38">
        <v>0.252</v>
      </c>
      <c r="H28" s="16">
        <v>1</v>
      </c>
      <c r="I28" s="17">
        <v>50</v>
      </c>
      <c r="J28" s="18">
        <f t="shared" si="0"/>
        <v>0</v>
      </c>
      <c r="K28" s="19">
        <f t="shared" si="7"/>
        <v>0</v>
      </c>
      <c r="L28" s="16">
        <v>35</v>
      </c>
      <c r="M28" s="20">
        <v>1750</v>
      </c>
      <c r="N28" s="21">
        <f t="shared" si="8"/>
        <v>0</v>
      </c>
      <c r="O28" s="19">
        <f t="shared" si="9"/>
        <v>0</v>
      </c>
      <c r="P28" s="76">
        <f t="shared" si="1"/>
        <v>0</v>
      </c>
      <c r="Q28" s="205">
        <f t="shared" si="10"/>
        <v>0</v>
      </c>
      <c r="R28" s="202">
        <f t="shared" si="2"/>
        <v>0</v>
      </c>
      <c r="S28" s="139">
        <f t="shared" si="3"/>
        <v>0</v>
      </c>
      <c r="T28" s="139">
        <f t="shared" si="11"/>
        <v>0</v>
      </c>
      <c r="U28" s="140">
        <v>0.89600000000000002</v>
      </c>
      <c r="V28" s="140">
        <f t="shared" si="4"/>
        <v>0</v>
      </c>
      <c r="W28" s="140">
        <f t="shared" si="5"/>
        <v>0</v>
      </c>
      <c r="X28" s="140">
        <f t="shared" si="12"/>
        <v>0</v>
      </c>
      <c r="Y28" s="176" t="str">
        <f t="shared" si="13"/>
        <v/>
      </c>
      <c r="AA28" s="13"/>
      <c r="AB28" s="14"/>
      <c r="AC28" s="13"/>
      <c r="AD28" s="15"/>
    </row>
    <row r="29" spans="1:30" x14ac:dyDescent="0.3">
      <c r="A29" s="90">
        <v>7011222</v>
      </c>
      <c r="B29" s="127" t="s">
        <v>0</v>
      </c>
      <c r="C29" s="63" t="s">
        <v>12</v>
      </c>
      <c r="D29" s="69" t="s">
        <v>39</v>
      </c>
      <c r="E29" s="70" t="s">
        <v>40</v>
      </c>
      <c r="F29" s="101"/>
      <c r="G29" s="38">
        <v>0.308</v>
      </c>
      <c r="H29" s="16">
        <v>1</v>
      </c>
      <c r="I29" s="17">
        <v>50</v>
      </c>
      <c r="J29" s="18">
        <f t="shared" si="0"/>
        <v>0</v>
      </c>
      <c r="K29" s="19">
        <f t="shared" si="7"/>
        <v>0</v>
      </c>
      <c r="L29" s="16">
        <v>30</v>
      </c>
      <c r="M29" s="20">
        <v>1500</v>
      </c>
      <c r="N29" s="21">
        <f t="shared" si="8"/>
        <v>0</v>
      </c>
      <c r="O29" s="19">
        <f t="shared" si="9"/>
        <v>0</v>
      </c>
      <c r="P29" s="76">
        <f t="shared" si="1"/>
        <v>0</v>
      </c>
      <c r="Q29" s="205">
        <f t="shared" si="10"/>
        <v>0</v>
      </c>
      <c r="R29" s="202">
        <f t="shared" si="2"/>
        <v>0</v>
      </c>
      <c r="S29" s="139">
        <f t="shared" si="3"/>
        <v>0</v>
      </c>
      <c r="T29" s="139">
        <f t="shared" si="11"/>
        <v>0</v>
      </c>
      <c r="U29" s="140">
        <v>0.89600000000000002</v>
      </c>
      <c r="V29" s="140">
        <f t="shared" si="4"/>
        <v>0</v>
      </c>
      <c r="W29" s="140">
        <f t="shared" si="5"/>
        <v>0</v>
      </c>
      <c r="X29" s="140">
        <f t="shared" si="12"/>
        <v>0</v>
      </c>
      <c r="Y29" s="176" t="str">
        <f t="shared" si="13"/>
        <v/>
      </c>
      <c r="AA29" s="13"/>
      <c r="AB29" s="14"/>
      <c r="AC29" s="13"/>
      <c r="AD29" s="15"/>
    </row>
    <row r="30" spans="1:30" x14ac:dyDescent="0.3">
      <c r="A30" s="90">
        <v>7011227</v>
      </c>
      <c r="B30" s="127" t="s">
        <v>0</v>
      </c>
      <c r="C30" s="63" t="s">
        <v>13</v>
      </c>
      <c r="D30" s="69" t="s">
        <v>39</v>
      </c>
      <c r="E30" s="70" t="s">
        <v>40</v>
      </c>
      <c r="F30" s="101"/>
      <c r="G30" s="38">
        <v>0.39100000000000001</v>
      </c>
      <c r="H30" s="16">
        <v>1</v>
      </c>
      <c r="I30" s="17">
        <v>50</v>
      </c>
      <c r="J30" s="18">
        <f t="shared" si="0"/>
        <v>0</v>
      </c>
      <c r="K30" s="19">
        <f t="shared" si="7"/>
        <v>0</v>
      </c>
      <c r="L30" s="16">
        <v>25</v>
      </c>
      <c r="M30" s="20">
        <v>1250</v>
      </c>
      <c r="N30" s="21">
        <f t="shared" si="8"/>
        <v>0</v>
      </c>
      <c r="O30" s="19">
        <f t="shared" si="9"/>
        <v>0</v>
      </c>
      <c r="P30" s="76">
        <f t="shared" si="1"/>
        <v>0</v>
      </c>
      <c r="Q30" s="205">
        <f t="shared" si="10"/>
        <v>0</v>
      </c>
      <c r="R30" s="202">
        <f t="shared" si="2"/>
        <v>0</v>
      </c>
      <c r="S30" s="139">
        <f t="shared" si="3"/>
        <v>0</v>
      </c>
      <c r="T30" s="139">
        <f t="shared" si="11"/>
        <v>0</v>
      </c>
      <c r="U30" s="140">
        <v>0.89600000000000002</v>
      </c>
      <c r="V30" s="140">
        <f t="shared" si="4"/>
        <v>0</v>
      </c>
      <c r="W30" s="140">
        <f t="shared" si="5"/>
        <v>0</v>
      </c>
      <c r="X30" s="140">
        <f t="shared" si="12"/>
        <v>0</v>
      </c>
      <c r="Y30" s="176" t="str">
        <f t="shared" si="13"/>
        <v/>
      </c>
      <c r="AA30" s="13"/>
      <c r="AB30" s="14"/>
      <c r="AC30" s="13"/>
      <c r="AD30" s="15"/>
    </row>
    <row r="31" spans="1:30" x14ac:dyDescent="0.3">
      <c r="A31" s="90">
        <v>7011231</v>
      </c>
      <c r="B31" s="127" t="s">
        <v>0</v>
      </c>
      <c r="C31" s="63" t="s">
        <v>15</v>
      </c>
      <c r="D31" s="69" t="s">
        <v>39</v>
      </c>
      <c r="E31" s="70" t="s">
        <v>40</v>
      </c>
      <c r="F31" s="101"/>
      <c r="G31" s="38">
        <v>0.47499999999999998</v>
      </c>
      <c r="H31" s="16">
        <v>1</v>
      </c>
      <c r="I31" s="17">
        <v>25</v>
      </c>
      <c r="J31" s="18">
        <f t="shared" si="0"/>
        <v>0</v>
      </c>
      <c r="K31" s="19">
        <f t="shared" si="7"/>
        <v>0</v>
      </c>
      <c r="L31" s="16">
        <v>25</v>
      </c>
      <c r="M31" s="20">
        <v>625</v>
      </c>
      <c r="N31" s="21">
        <f t="shared" si="8"/>
        <v>0</v>
      </c>
      <c r="O31" s="19">
        <f t="shared" si="9"/>
        <v>0</v>
      </c>
      <c r="P31" s="76">
        <f t="shared" si="1"/>
        <v>0</v>
      </c>
      <c r="Q31" s="205">
        <f t="shared" si="10"/>
        <v>0</v>
      </c>
      <c r="R31" s="202">
        <f t="shared" si="2"/>
        <v>0</v>
      </c>
      <c r="S31" s="139">
        <f t="shared" si="3"/>
        <v>0</v>
      </c>
      <c r="T31" s="139">
        <f t="shared" si="11"/>
        <v>0</v>
      </c>
      <c r="U31" s="140">
        <v>0.89600000000000002</v>
      </c>
      <c r="V31" s="140">
        <f t="shared" si="4"/>
        <v>0</v>
      </c>
      <c r="W31" s="140">
        <f t="shared" si="5"/>
        <v>0</v>
      </c>
      <c r="X31" s="140">
        <f t="shared" si="12"/>
        <v>0</v>
      </c>
      <c r="Y31" s="176" t="str">
        <f t="shared" si="13"/>
        <v/>
      </c>
      <c r="AA31" s="13"/>
      <c r="AB31" s="14"/>
      <c r="AC31" s="13"/>
      <c r="AD31" s="15"/>
    </row>
    <row r="32" spans="1:30" ht="14.5" thickBot="1" x14ac:dyDescent="0.35">
      <c r="A32" s="94">
        <v>7011234</v>
      </c>
      <c r="B32" s="128" t="s">
        <v>0</v>
      </c>
      <c r="C32" s="107" t="s">
        <v>17</v>
      </c>
      <c r="D32" s="50" t="s">
        <v>39</v>
      </c>
      <c r="E32" s="51" t="s">
        <v>40</v>
      </c>
      <c r="F32" s="102"/>
      <c r="G32" s="39">
        <v>0.58699999999999997</v>
      </c>
      <c r="H32" s="31">
        <v>1</v>
      </c>
      <c r="I32" s="30">
        <v>25</v>
      </c>
      <c r="J32" s="26">
        <f t="shared" si="0"/>
        <v>0</v>
      </c>
      <c r="K32" s="27">
        <f t="shared" si="7"/>
        <v>0</v>
      </c>
      <c r="L32" s="31">
        <v>20</v>
      </c>
      <c r="M32" s="28">
        <v>500</v>
      </c>
      <c r="N32" s="29">
        <f t="shared" si="8"/>
        <v>0</v>
      </c>
      <c r="O32" s="27">
        <f t="shared" si="9"/>
        <v>0</v>
      </c>
      <c r="P32" s="77">
        <f t="shared" si="1"/>
        <v>0</v>
      </c>
      <c r="Q32" s="206">
        <f t="shared" si="10"/>
        <v>0</v>
      </c>
      <c r="R32" s="203">
        <f t="shared" si="2"/>
        <v>0</v>
      </c>
      <c r="S32" s="141">
        <f t="shared" si="3"/>
        <v>0</v>
      </c>
      <c r="T32" s="141">
        <f t="shared" si="11"/>
        <v>0</v>
      </c>
      <c r="U32" s="142">
        <v>1.4</v>
      </c>
      <c r="V32" s="142">
        <f t="shared" si="4"/>
        <v>0</v>
      </c>
      <c r="W32" s="142">
        <f t="shared" si="5"/>
        <v>0</v>
      </c>
      <c r="X32" s="142">
        <f t="shared" si="12"/>
        <v>0</v>
      </c>
      <c r="Y32" s="176" t="str">
        <f t="shared" si="13"/>
        <v/>
      </c>
      <c r="AA32" s="13"/>
      <c r="AB32" s="14"/>
      <c r="AC32" s="13"/>
      <c r="AD32" s="15"/>
    </row>
    <row r="33" spans="1:30" x14ac:dyDescent="0.3">
      <c r="A33" s="89">
        <v>7134765</v>
      </c>
      <c r="B33" s="126" t="s">
        <v>0</v>
      </c>
      <c r="C33" s="62" t="s">
        <v>12</v>
      </c>
      <c r="D33" s="46" t="s">
        <v>37</v>
      </c>
      <c r="E33" s="47" t="s">
        <v>9</v>
      </c>
      <c r="F33" s="100"/>
      <c r="G33" s="37">
        <v>0.308</v>
      </c>
      <c r="H33" s="7">
        <v>20</v>
      </c>
      <c r="I33" s="8">
        <v>100</v>
      </c>
      <c r="J33" s="9">
        <f t="shared" si="0"/>
        <v>0</v>
      </c>
      <c r="K33" s="10">
        <f t="shared" si="7"/>
        <v>0</v>
      </c>
      <c r="L33" s="7">
        <v>20</v>
      </c>
      <c r="M33" s="11">
        <v>2000</v>
      </c>
      <c r="N33" s="12">
        <f t="shared" si="8"/>
        <v>0</v>
      </c>
      <c r="O33" s="10">
        <f t="shared" si="9"/>
        <v>0</v>
      </c>
      <c r="P33" s="78">
        <f t="shared" si="1"/>
        <v>0</v>
      </c>
      <c r="Q33" s="204">
        <f t="shared" si="10"/>
        <v>0</v>
      </c>
      <c r="R33" s="201">
        <f t="shared" si="2"/>
        <v>0</v>
      </c>
      <c r="S33" s="137">
        <f t="shared" si="3"/>
        <v>0</v>
      </c>
      <c r="T33" s="137">
        <f t="shared" si="11"/>
        <v>0</v>
      </c>
      <c r="U33" s="138">
        <v>0.89600000000000002</v>
      </c>
      <c r="V33" s="138">
        <f t="shared" si="4"/>
        <v>0</v>
      </c>
      <c r="W33" s="138">
        <f t="shared" si="5"/>
        <v>0</v>
      </c>
      <c r="X33" s="138">
        <f t="shared" si="12"/>
        <v>0</v>
      </c>
      <c r="Y33" s="176" t="str">
        <f t="shared" si="13"/>
        <v/>
      </c>
      <c r="AA33" s="13"/>
      <c r="AB33" s="14"/>
      <c r="AC33" s="13"/>
      <c r="AD33" s="15"/>
    </row>
    <row r="34" spans="1:30" x14ac:dyDescent="0.3">
      <c r="A34" s="90">
        <v>7134766</v>
      </c>
      <c r="B34" s="127" t="s">
        <v>0</v>
      </c>
      <c r="C34" s="63" t="s">
        <v>13</v>
      </c>
      <c r="D34" s="48" t="s">
        <v>37</v>
      </c>
      <c r="E34" s="49" t="s">
        <v>9</v>
      </c>
      <c r="F34" s="101"/>
      <c r="G34" s="38">
        <v>0.39100000000000001</v>
      </c>
      <c r="H34" s="16">
        <v>20</v>
      </c>
      <c r="I34" s="17">
        <v>100</v>
      </c>
      <c r="J34" s="18">
        <f t="shared" si="0"/>
        <v>0</v>
      </c>
      <c r="K34" s="19">
        <f t="shared" si="7"/>
        <v>0</v>
      </c>
      <c r="L34" s="16">
        <v>20</v>
      </c>
      <c r="M34" s="20">
        <v>2000</v>
      </c>
      <c r="N34" s="21">
        <f t="shared" si="8"/>
        <v>0</v>
      </c>
      <c r="O34" s="19">
        <f t="shared" si="9"/>
        <v>0</v>
      </c>
      <c r="P34" s="76">
        <f t="shared" si="1"/>
        <v>0</v>
      </c>
      <c r="Q34" s="205">
        <f t="shared" si="10"/>
        <v>0</v>
      </c>
      <c r="R34" s="202">
        <f t="shared" si="2"/>
        <v>0</v>
      </c>
      <c r="S34" s="139">
        <f t="shared" si="3"/>
        <v>0</v>
      </c>
      <c r="T34" s="139">
        <f t="shared" si="11"/>
        <v>0</v>
      </c>
      <c r="U34" s="140">
        <v>0.89600000000000002</v>
      </c>
      <c r="V34" s="140">
        <f t="shared" si="4"/>
        <v>0</v>
      </c>
      <c r="W34" s="140">
        <f t="shared" si="5"/>
        <v>0</v>
      </c>
      <c r="X34" s="140">
        <f t="shared" si="12"/>
        <v>0</v>
      </c>
      <c r="Y34" s="176" t="str">
        <f t="shared" si="13"/>
        <v/>
      </c>
      <c r="AA34" s="13"/>
      <c r="AB34" s="14"/>
      <c r="AC34" s="13"/>
      <c r="AD34" s="15"/>
    </row>
    <row r="35" spans="1:30" x14ac:dyDescent="0.3">
      <c r="A35" s="90">
        <v>7134767</v>
      </c>
      <c r="B35" s="127" t="s">
        <v>0</v>
      </c>
      <c r="C35" s="63" t="s">
        <v>15</v>
      </c>
      <c r="D35" s="48" t="s">
        <v>37</v>
      </c>
      <c r="E35" s="49" t="s">
        <v>9</v>
      </c>
      <c r="F35" s="101"/>
      <c r="G35" s="38">
        <v>0.47499999999999998</v>
      </c>
      <c r="H35" s="16">
        <v>10</v>
      </c>
      <c r="I35" s="17">
        <v>50</v>
      </c>
      <c r="J35" s="18">
        <f t="shared" si="0"/>
        <v>0</v>
      </c>
      <c r="K35" s="19">
        <f t="shared" si="7"/>
        <v>0</v>
      </c>
      <c r="L35" s="16">
        <v>40</v>
      </c>
      <c r="M35" s="20">
        <v>2000</v>
      </c>
      <c r="N35" s="21">
        <f t="shared" si="8"/>
        <v>0</v>
      </c>
      <c r="O35" s="19">
        <f t="shared" si="9"/>
        <v>0</v>
      </c>
      <c r="P35" s="76">
        <f t="shared" si="1"/>
        <v>0</v>
      </c>
      <c r="Q35" s="205">
        <f t="shared" si="10"/>
        <v>0</v>
      </c>
      <c r="R35" s="202">
        <f t="shared" si="2"/>
        <v>0</v>
      </c>
      <c r="S35" s="139">
        <f t="shared" si="3"/>
        <v>0</v>
      </c>
      <c r="T35" s="139">
        <f t="shared" si="11"/>
        <v>0</v>
      </c>
      <c r="U35" s="140">
        <v>0.89600000000000002</v>
      </c>
      <c r="V35" s="140">
        <f t="shared" si="4"/>
        <v>0</v>
      </c>
      <c r="W35" s="140">
        <f t="shared" si="5"/>
        <v>0</v>
      </c>
      <c r="X35" s="140">
        <f t="shared" si="12"/>
        <v>0</v>
      </c>
      <c r="Y35" s="176" t="str">
        <f t="shared" si="13"/>
        <v/>
      </c>
      <c r="AA35" s="13"/>
      <c r="AB35" s="14"/>
      <c r="AC35" s="13"/>
      <c r="AD35" s="15"/>
    </row>
    <row r="36" spans="1:30" x14ac:dyDescent="0.3">
      <c r="A36" s="90">
        <v>7134768</v>
      </c>
      <c r="B36" s="127" t="s">
        <v>0</v>
      </c>
      <c r="C36" s="63" t="s">
        <v>17</v>
      </c>
      <c r="D36" s="48" t="s">
        <v>37</v>
      </c>
      <c r="E36" s="49" t="s">
        <v>9</v>
      </c>
      <c r="F36" s="101"/>
      <c r="G36" s="38">
        <v>0.58699999999999997</v>
      </c>
      <c r="H36" s="16">
        <v>10</v>
      </c>
      <c r="I36" s="17">
        <v>50</v>
      </c>
      <c r="J36" s="18">
        <f t="shared" si="0"/>
        <v>0</v>
      </c>
      <c r="K36" s="19">
        <f t="shared" si="7"/>
        <v>0</v>
      </c>
      <c r="L36" s="16">
        <v>30</v>
      </c>
      <c r="M36" s="20">
        <v>1500</v>
      </c>
      <c r="N36" s="21">
        <f t="shared" si="8"/>
        <v>0</v>
      </c>
      <c r="O36" s="19">
        <f t="shared" si="9"/>
        <v>0</v>
      </c>
      <c r="P36" s="76">
        <f t="shared" si="1"/>
        <v>0</v>
      </c>
      <c r="Q36" s="205">
        <f t="shared" si="10"/>
        <v>0</v>
      </c>
      <c r="R36" s="202">
        <f t="shared" si="2"/>
        <v>0</v>
      </c>
      <c r="S36" s="139">
        <f t="shared" si="3"/>
        <v>0</v>
      </c>
      <c r="T36" s="139">
        <f t="shared" si="11"/>
        <v>0</v>
      </c>
      <c r="U36" s="140">
        <v>0.89600000000000002</v>
      </c>
      <c r="V36" s="140">
        <f t="shared" si="4"/>
        <v>0</v>
      </c>
      <c r="W36" s="140">
        <f t="shared" si="5"/>
        <v>0</v>
      </c>
      <c r="X36" s="140">
        <f t="shared" si="12"/>
        <v>0</v>
      </c>
      <c r="Y36" s="176" t="str">
        <f t="shared" si="13"/>
        <v/>
      </c>
      <c r="AA36" s="13"/>
      <c r="AB36" s="14"/>
      <c r="AC36" s="13"/>
      <c r="AD36" s="15"/>
    </row>
    <row r="37" spans="1:30" x14ac:dyDescent="0.3">
      <c r="A37" s="90">
        <v>7134769</v>
      </c>
      <c r="B37" s="127" t="s">
        <v>0</v>
      </c>
      <c r="C37" s="63" t="s">
        <v>19</v>
      </c>
      <c r="D37" s="48" t="s">
        <v>37</v>
      </c>
      <c r="E37" s="49" t="s">
        <v>9</v>
      </c>
      <c r="F37" s="101"/>
      <c r="G37" s="38">
        <v>0.75600000000000001</v>
      </c>
      <c r="H37" s="16">
        <v>10</v>
      </c>
      <c r="I37" s="17">
        <v>50</v>
      </c>
      <c r="J37" s="18">
        <f t="shared" ref="J37:J68" si="14">ROUND((R37-N37)*M37/I37,0)</f>
        <v>0</v>
      </c>
      <c r="K37" s="19">
        <f t="shared" si="7"/>
        <v>0</v>
      </c>
      <c r="L37" s="16">
        <v>30</v>
      </c>
      <c r="M37" s="20">
        <v>1500</v>
      </c>
      <c r="N37" s="21">
        <f t="shared" si="8"/>
        <v>0</v>
      </c>
      <c r="O37" s="19">
        <f t="shared" si="9"/>
        <v>0</v>
      </c>
      <c r="P37" s="76">
        <f t="shared" ref="P37:P68" si="15">G37*Q37</f>
        <v>0</v>
      </c>
      <c r="Q37" s="205">
        <f t="shared" si="10"/>
        <v>0</v>
      </c>
      <c r="R37" s="202">
        <f t="shared" ref="R37:R68" si="16">ROUND(F37/M37,3)</f>
        <v>0</v>
      </c>
      <c r="S37" s="139">
        <f t="shared" ref="S37:S68" si="17">K37/M37</f>
        <v>0</v>
      </c>
      <c r="T37" s="139">
        <f t="shared" si="11"/>
        <v>0</v>
      </c>
      <c r="U37" s="140">
        <v>0.89600000000000002</v>
      </c>
      <c r="V37" s="140">
        <f t="shared" ref="V37:V68" si="18">S37*U37</f>
        <v>0</v>
      </c>
      <c r="W37" s="140">
        <f t="shared" ref="W37:W68" si="19">N37*U37</f>
        <v>0</v>
      </c>
      <c r="X37" s="140">
        <f t="shared" si="12"/>
        <v>0</v>
      </c>
      <c r="Y37" s="176" t="str">
        <f t="shared" si="13"/>
        <v/>
      </c>
      <c r="AA37" s="13"/>
      <c r="AB37" s="14"/>
      <c r="AC37" s="13"/>
      <c r="AD37" s="15"/>
    </row>
    <row r="38" spans="1:30" ht="14.5" thickBot="1" x14ac:dyDescent="0.35">
      <c r="A38" s="94">
        <v>7011426</v>
      </c>
      <c r="B38" s="128" t="s">
        <v>0</v>
      </c>
      <c r="C38" s="64" t="s">
        <v>20</v>
      </c>
      <c r="D38" s="50" t="s">
        <v>37</v>
      </c>
      <c r="E38" s="51" t="s">
        <v>9</v>
      </c>
      <c r="F38" s="102"/>
      <c r="G38" s="39">
        <v>1.1100000000000001</v>
      </c>
      <c r="H38" s="31">
        <v>5</v>
      </c>
      <c r="I38" s="30">
        <v>25</v>
      </c>
      <c r="J38" s="26">
        <f t="shared" si="14"/>
        <v>0</v>
      </c>
      <c r="K38" s="27">
        <f t="shared" si="7"/>
        <v>0</v>
      </c>
      <c r="L38" s="31">
        <v>30</v>
      </c>
      <c r="M38" s="28">
        <v>750</v>
      </c>
      <c r="N38" s="29">
        <f t="shared" si="8"/>
        <v>0</v>
      </c>
      <c r="O38" s="27">
        <f t="shared" si="9"/>
        <v>0</v>
      </c>
      <c r="P38" s="77">
        <f t="shared" si="15"/>
        <v>0</v>
      </c>
      <c r="Q38" s="206">
        <f t="shared" si="10"/>
        <v>0</v>
      </c>
      <c r="R38" s="203">
        <f t="shared" si="16"/>
        <v>0</v>
      </c>
      <c r="S38" s="141">
        <f t="shared" si="17"/>
        <v>0</v>
      </c>
      <c r="T38" s="141">
        <f t="shared" si="11"/>
        <v>0</v>
      </c>
      <c r="U38" s="142">
        <v>0.89600000000000002</v>
      </c>
      <c r="V38" s="142">
        <f t="shared" si="18"/>
        <v>0</v>
      </c>
      <c r="W38" s="142">
        <f t="shared" si="19"/>
        <v>0</v>
      </c>
      <c r="X38" s="142">
        <f t="shared" si="12"/>
        <v>0</v>
      </c>
      <c r="Y38" s="176" t="str">
        <f t="shared" si="13"/>
        <v/>
      </c>
      <c r="AA38" s="13"/>
      <c r="AB38" s="14"/>
      <c r="AC38" s="13"/>
      <c r="AD38" s="15"/>
    </row>
    <row r="39" spans="1:30" x14ac:dyDescent="0.3">
      <c r="A39" s="89">
        <v>7011284</v>
      </c>
      <c r="B39" s="126" t="s">
        <v>0</v>
      </c>
      <c r="C39" s="62" t="s">
        <v>14</v>
      </c>
      <c r="D39" s="46" t="s">
        <v>8</v>
      </c>
      <c r="E39" s="47" t="s">
        <v>9</v>
      </c>
      <c r="F39" s="100"/>
      <c r="G39" s="37">
        <v>0.56599999999999995</v>
      </c>
      <c r="H39" s="7">
        <v>10</v>
      </c>
      <c r="I39" s="8">
        <v>50</v>
      </c>
      <c r="J39" s="9">
        <f t="shared" si="14"/>
        <v>0</v>
      </c>
      <c r="K39" s="10">
        <f t="shared" si="7"/>
        <v>0</v>
      </c>
      <c r="L39" s="7">
        <v>20</v>
      </c>
      <c r="M39" s="11">
        <v>1000</v>
      </c>
      <c r="N39" s="12">
        <f t="shared" si="8"/>
        <v>0</v>
      </c>
      <c r="O39" s="10">
        <f t="shared" si="9"/>
        <v>0</v>
      </c>
      <c r="P39" s="78">
        <f t="shared" si="15"/>
        <v>0</v>
      </c>
      <c r="Q39" s="204">
        <f t="shared" si="10"/>
        <v>0</v>
      </c>
      <c r="R39" s="201">
        <f t="shared" si="16"/>
        <v>0</v>
      </c>
      <c r="S39" s="137">
        <f t="shared" si="17"/>
        <v>0</v>
      </c>
      <c r="T39" s="137">
        <f t="shared" si="11"/>
        <v>0</v>
      </c>
      <c r="U39" s="138">
        <v>0.89600000000000002</v>
      </c>
      <c r="V39" s="138">
        <f t="shared" si="18"/>
        <v>0</v>
      </c>
      <c r="W39" s="138">
        <f t="shared" si="19"/>
        <v>0</v>
      </c>
      <c r="X39" s="138">
        <f t="shared" si="12"/>
        <v>0</v>
      </c>
      <c r="Y39" s="176" t="str">
        <f t="shared" si="13"/>
        <v/>
      </c>
      <c r="AA39" s="13"/>
      <c r="AB39" s="14"/>
      <c r="AC39" s="13"/>
      <c r="AD39" s="15"/>
    </row>
    <row r="40" spans="1:30" x14ac:dyDescent="0.3">
      <c r="A40" s="90">
        <v>7011290</v>
      </c>
      <c r="B40" s="127" t="s">
        <v>0</v>
      </c>
      <c r="C40" s="63" t="s">
        <v>16</v>
      </c>
      <c r="D40" s="48" t="s">
        <v>8</v>
      </c>
      <c r="E40" s="49" t="s">
        <v>9</v>
      </c>
      <c r="F40" s="101"/>
      <c r="G40" s="38">
        <v>0.69199999999999995</v>
      </c>
      <c r="H40" s="16">
        <v>10</v>
      </c>
      <c r="I40" s="17">
        <v>50</v>
      </c>
      <c r="J40" s="18">
        <f t="shared" si="14"/>
        <v>0</v>
      </c>
      <c r="K40" s="19">
        <f t="shared" si="7"/>
        <v>0</v>
      </c>
      <c r="L40" s="16">
        <v>20</v>
      </c>
      <c r="M40" s="20">
        <v>1000</v>
      </c>
      <c r="N40" s="21">
        <f t="shared" si="8"/>
        <v>0</v>
      </c>
      <c r="O40" s="19">
        <f t="shared" si="9"/>
        <v>0</v>
      </c>
      <c r="P40" s="76">
        <f t="shared" si="15"/>
        <v>0</v>
      </c>
      <c r="Q40" s="205">
        <f t="shared" si="10"/>
        <v>0</v>
      </c>
      <c r="R40" s="202">
        <f t="shared" si="16"/>
        <v>0</v>
      </c>
      <c r="S40" s="139">
        <f t="shared" si="17"/>
        <v>0</v>
      </c>
      <c r="T40" s="139">
        <f t="shared" si="11"/>
        <v>0</v>
      </c>
      <c r="U40" s="140">
        <v>0.89600000000000002</v>
      </c>
      <c r="V40" s="140">
        <f t="shared" si="18"/>
        <v>0</v>
      </c>
      <c r="W40" s="140">
        <f t="shared" si="19"/>
        <v>0</v>
      </c>
      <c r="X40" s="140">
        <f t="shared" si="12"/>
        <v>0</v>
      </c>
      <c r="Y40" s="176" t="str">
        <f t="shared" si="13"/>
        <v/>
      </c>
      <c r="AA40" s="13"/>
      <c r="AB40" s="14"/>
      <c r="AC40" s="13"/>
      <c r="AD40" s="15"/>
    </row>
    <row r="41" spans="1:30" x14ac:dyDescent="0.3">
      <c r="A41" s="90">
        <v>7011299</v>
      </c>
      <c r="B41" s="127" t="s">
        <v>0</v>
      </c>
      <c r="C41" s="63" t="s">
        <v>18</v>
      </c>
      <c r="D41" s="48" t="s">
        <v>8</v>
      </c>
      <c r="E41" s="49" t="s">
        <v>9</v>
      </c>
      <c r="F41" s="101"/>
      <c r="G41" s="38">
        <v>0.86</v>
      </c>
      <c r="H41" s="16">
        <v>10</v>
      </c>
      <c r="I41" s="17">
        <v>50</v>
      </c>
      <c r="J41" s="18">
        <f t="shared" si="14"/>
        <v>0</v>
      </c>
      <c r="K41" s="19">
        <f t="shared" si="7"/>
        <v>0</v>
      </c>
      <c r="L41" s="16">
        <v>20</v>
      </c>
      <c r="M41" s="20">
        <v>1000</v>
      </c>
      <c r="N41" s="21">
        <f t="shared" si="8"/>
        <v>0</v>
      </c>
      <c r="O41" s="19">
        <f t="shared" si="9"/>
        <v>0</v>
      </c>
      <c r="P41" s="76">
        <f t="shared" si="15"/>
        <v>0</v>
      </c>
      <c r="Q41" s="205">
        <f t="shared" si="10"/>
        <v>0</v>
      </c>
      <c r="R41" s="202">
        <f t="shared" si="16"/>
        <v>0</v>
      </c>
      <c r="S41" s="139">
        <f t="shared" si="17"/>
        <v>0</v>
      </c>
      <c r="T41" s="139">
        <f t="shared" si="11"/>
        <v>0</v>
      </c>
      <c r="U41" s="140">
        <v>0.89600000000000002</v>
      </c>
      <c r="V41" s="140">
        <f t="shared" si="18"/>
        <v>0</v>
      </c>
      <c r="W41" s="140">
        <f t="shared" si="19"/>
        <v>0</v>
      </c>
      <c r="X41" s="140">
        <f t="shared" si="12"/>
        <v>0</v>
      </c>
      <c r="Y41" s="176" t="str">
        <f t="shared" si="13"/>
        <v/>
      </c>
      <c r="AA41" s="13"/>
      <c r="AB41" s="14"/>
      <c r="AC41" s="13"/>
      <c r="AD41" s="15"/>
    </row>
    <row r="42" spans="1:30" x14ac:dyDescent="0.3">
      <c r="A42" s="90">
        <v>7011316</v>
      </c>
      <c r="B42" s="127" t="s">
        <v>0</v>
      </c>
      <c r="C42" s="65" t="s">
        <v>20</v>
      </c>
      <c r="D42" s="48" t="s">
        <v>8</v>
      </c>
      <c r="E42" s="49" t="s">
        <v>9</v>
      </c>
      <c r="F42" s="101"/>
      <c r="G42" s="38">
        <v>1.1100000000000001</v>
      </c>
      <c r="H42" s="16">
        <v>5</v>
      </c>
      <c r="I42" s="17">
        <v>25</v>
      </c>
      <c r="J42" s="18">
        <f t="shared" si="14"/>
        <v>0</v>
      </c>
      <c r="K42" s="19">
        <f t="shared" si="7"/>
        <v>0</v>
      </c>
      <c r="L42" s="16">
        <v>30</v>
      </c>
      <c r="M42" s="20">
        <v>750</v>
      </c>
      <c r="N42" s="21">
        <f t="shared" si="8"/>
        <v>0</v>
      </c>
      <c r="O42" s="19">
        <f t="shared" si="9"/>
        <v>0</v>
      </c>
      <c r="P42" s="76">
        <f t="shared" si="15"/>
        <v>0</v>
      </c>
      <c r="Q42" s="205">
        <f t="shared" si="10"/>
        <v>0</v>
      </c>
      <c r="R42" s="202">
        <f t="shared" si="16"/>
        <v>0</v>
      </c>
      <c r="S42" s="139">
        <f t="shared" si="17"/>
        <v>0</v>
      </c>
      <c r="T42" s="139">
        <f t="shared" si="11"/>
        <v>0</v>
      </c>
      <c r="U42" s="140">
        <v>0.89600000000000002</v>
      </c>
      <c r="V42" s="140">
        <f t="shared" si="18"/>
        <v>0</v>
      </c>
      <c r="W42" s="140">
        <f t="shared" si="19"/>
        <v>0</v>
      </c>
      <c r="X42" s="140">
        <f t="shared" si="12"/>
        <v>0</v>
      </c>
      <c r="Y42" s="176" t="str">
        <f t="shared" si="13"/>
        <v/>
      </c>
      <c r="AA42" s="13"/>
      <c r="AB42" s="14"/>
      <c r="AC42" s="13"/>
      <c r="AD42" s="15"/>
    </row>
    <row r="43" spans="1:30" x14ac:dyDescent="0.3">
      <c r="A43" s="90">
        <v>7011324</v>
      </c>
      <c r="B43" s="127" t="s">
        <v>0</v>
      </c>
      <c r="C43" s="63" t="s">
        <v>23</v>
      </c>
      <c r="D43" s="48" t="s">
        <v>8</v>
      </c>
      <c r="E43" s="49" t="s">
        <v>9</v>
      </c>
      <c r="F43" s="101"/>
      <c r="G43" s="38">
        <v>1.41</v>
      </c>
      <c r="H43" s="16">
        <v>5</v>
      </c>
      <c r="I43" s="17">
        <v>25</v>
      </c>
      <c r="J43" s="18">
        <f t="shared" si="14"/>
        <v>0</v>
      </c>
      <c r="K43" s="19">
        <f t="shared" si="7"/>
        <v>0</v>
      </c>
      <c r="L43" s="16">
        <v>20</v>
      </c>
      <c r="M43" s="20">
        <v>500</v>
      </c>
      <c r="N43" s="21">
        <f t="shared" si="8"/>
        <v>0</v>
      </c>
      <c r="O43" s="19">
        <f t="shared" si="9"/>
        <v>0</v>
      </c>
      <c r="P43" s="76">
        <f t="shared" si="15"/>
        <v>0</v>
      </c>
      <c r="Q43" s="205">
        <f t="shared" si="10"/>
        <v>0</v>
      </c>
      <c r="R43" s="202">
        <f t="shared" si="16"/>
        <v>0</v>
      </c>
      <c r="S43" s="139">
        <f t="shared" si="17"/>
        <v>0</v>
      </c>
      <c r="T43" s="139">
        <f t="shared" si="11"/>
        <v>0</v>
      </c>
      <c r="U43" s="140">
        <v>0.89600000000000002</v>
      </c>
      <c r="V43" s="140">
        <f t="shared" si="18"/>
        <v>0</v>
      </c>
      <c r="W43" s="140">
        <f t="shared" si="19"/>
        <v>0</v>
      </c>
      <c r="X43" s="140">
        <f t="shared" si="12"/>
        <v>0</v>
      </c>
      <c r="Y43" s="176" t="str">
        <f t="shared" si="13"/>
        <v/>
      </c>
      <c r="AA43" s="13"/>
      <c r="AB43" s="14"/>
      <c r="AC43" s="13"/>
      <c r="AD43" s="15"/>
    </row>
    <row r="44" spans="1:30" x14ac:dyDescent="0.3">
      <c r="A44" s="90">
        <v>7011360</v>
      </c>
      <c r="B44" s="127" t="s">
        <v>0</v>
      </c>
      <c r="C44" s="63" t="s">
        <v>26</v>
      </c>
      <c r="D44" s="48" t="s">
        <v>8</v>
      </c>
      <c r="E44" s="49" t="s">
        <v>9</v>
      </c>
      <c r="F44" s="101"/>
      <c r="G44" s="38">
        <v>1.7</v>
      </c>
      <c r="H44" s="16">
        <v>5</v>
      </c>
      <c r="I44" s="17">
        <v>25</v>
      </c>
      <c r="J44" s="18">
        <f t="shared" si="14"/>
        <v>0</v>
      </c>
      <c r="K44" s="19">
        <f t="shared" si="7"/>
        <v>0</v>
      </c>
      <c r="L44" s="16">
        <v>20</v>
      </c>
      <c r="M44" s="20">
        <v>500</v>
      </c>
      <c r="N44" s="21">
        <f t="shared" si="8"/>
        <v>0</v>
      </c>
      <c r="O44" s="19">
        <f t="shared" si="9"/>
        <v>0</v>
      </c>
      <c r="P44" s="76">
        <f t="shared" si="15"/>
        <v>0</v>
      </c>
      <c r="Q44" s="205">
        <f t="shared" si="10"/>
        <v>0</v>
      </c>
      <c r="R44" s="202">
        <f t="shared" si="16"/>
        <v>0</v>
      </c>
      <c r="S44" s="139">
        <f t="shared" si="17"/>
        <v>0</v>
      </c>
      <c r="T44" s="139">
        <f t="shared" si="11"/>
        <v>0</v>
      </c>
      <c r="U44" s="140">
        <v>0.89600000000000002</v>
      </c>
      <c r="V44" s="140">
        <f t="shared" si="18"/>
        <v>0</v>
      </c>
      <c r="W44" s="140">
        <f t="shared" si="19"/>
        <v>0</v>
      </c>
      <c r="X44" s="140">
        <f t="shared" si="12"/>
        <v>0</v>
      </c>
      <c r="Y44" s="176" t="str">
        <f t="shared" si="13"/>
        <v/>
      </c>
      <c r="AA44" s="13"/>
      <c r="AB44" s="14"/>
      <c r="AC44" s="13"/>
      <c r="AD44" s="15"/>
    </row>
    <row r="45" spans="1:30" ht="14.5" thickBot="1" x14ac:dyDescent="0.35">
      <c r="A45" s="91">
        <v>7011372</v>
      </c>
      <c r="B45" s="128" t="s">
        <v>0</v>
      </c>
      <c r="C45" s="64" t="s">
        <v>28</v>
      </c>
      <c r="D45" s="50" t="s">
        <v>8</v>
      </c>
      <c r="E45" s="51" t="s">
        <v>9</v>
      </c>
      <c r="F45" s="102"/>
      <c r="G45" s="39">
        <v>2.91</v>
      </c>
      <c r="H45" s="31">
        <v>3</v>
      </c>
      <c r="I45" s="30">
        <v>15</v>
      </c>
      <c r="J45" s="26">
        <f t="shared" si="14"/>
        <v>0</v>
      </c>
      <c r="K45" s="27">
        <f t="shared" si="7"/>
        <v>0</v>
      </c>
      <c r="L45" s="31">
        <v>20</v>
      </c>
      <c r="M45" s="28">
        <v>300</v>
      </c>
      <c r="N45" s="29">
        <f t="shared" si="8"/>
        <v>0</v>
      </c>
      <c r="O45" s="27">
        <f t="shared" si="9"/>
        <v>0</v>
      </c>
      <c r="P45" s="77">
        <f t="shared" si="15"/>
        <v>0</v>
      </c>
      <c r="Q45" s="206">
        <f t="shared" si="10"/>
        <v>0</v>
      </c>
      <c r="R45" s="203">
        <f t="shared" si="16"/>
        <v>0</v>
      </c>
      <c r="S45" s="141">
        <f t="shared" si="17"/>
        <v>0</v>
      </c>
      <c r="T45" s="141">
        <f t="shared" si="11"/>
        <v>0</v>
      </c>
      <c r="U45" s="142">
        <v>0.89600000000000002</v>
      </c>
      <c r="V45" s="142">
        <f t="shared" si="18"/>
        <v>0</v>
      </c>
      <c r="W45" s="142">
        <f t="shared" si="19"/>
        <v>0</v>
      </c>
      <c r="X45" s="142">
        <f t="shared" si="12"/>
        <v>0</v>
      </c>
      <c r="Y45" s="176" t="str">
        <f t="shared" si="13"/>
        <v/>
      </c>
      <c r="AA45" s="13"/>
      <c r="AB45" s="14"/>
      <c r="AC45" s="13"/>
      <c r="AD45" s="15"/>
    </row>
    <row r="46" spans="1:30" x14ac:dyDescent="0.3">
      <c r="A46" s="89">
        <v>7500254</v>
      </c>
      <c r="B46" s="71" t="s">
        <v>66</v>
      </c>
      <c r="C46" s="145" t="s">
        <v>13</v>
      </c>
      <c r="D46" s="46" t="s">
        <v>8</v>
      </c>
      <c r="E46" s="47" t="s">
        <v>9</v>
      </c>
      <c r="F46" s="100"/>
      <c r="G46" s="148">
        <v>0.39100000000000001</v>
      </c>
      <c r="H46" s="7">
        <v>20</v>
      </c>
      <c r="I46" s="8">
        <v>50</v>
      </c>
      <c r="J46" s="9">
        <f t="shared" si="14"/>
        <v>0</v>
      </c>
      <c r="K46" s="10">
        <f t="shared" ref="K46:K49" si="20">J46*I46</f>
        <v>0</v>
      </c>
      <c r="L46" s="7">
        <v>20</v>
      </c>
      <c r="M46" s="11">
        <v>1000</v>
      </c>
      <c r="N46" s="12">
        <f t="shared" ref="N46:N49" si="21">ROUND(IF(R46&gt;99.99,LEFT(R46,3),IF(R46&gt;9.99,LEFT(R46,2),LEFT(R46,1))),0)</f>
        <v>0</v>
      </c>
      <c r="O46" s="10">
        <f t="shared" ref="O46:O49" si="22">N46*M46</f>
        <v>0</v>
      </c>
      <c r="P46" s="78">
        <f t="shared" si="15"/>
        <v>0</v>
      </c>
      <c r="Q46" s="204">
        <f t="shared" ref="Q46:Q49" si="23">K46+O46</f>
        <v>0</v>
      </c>
      <c r="R46" s="201">
        <f t="shared" si="16"/>
        <v>0</v>
      </c>
      <c r="S46" s="137">
        <f t="shared" si="17"/>
        <v>0</v>
      </c>
      <c r="T46" s="137">
        <f t="shared" si="11"/>
        <v>0</v>
      </c>
      <c r="U46" s="138">
        <v>0.44800000000000001</v>
      </c>
      <c r="V46" s="138">
        <f t="shared" si="18"/>
        <v>0</v>
      </c>
      <c r="W46" s="138">
        <f t="shared" si="19"/>
        <v>0</v>
      </c>
      <c r="X46" s="138">
        <f t="shared" ref="X46:X49" si="24">SUM(V46:W46)</f>
        <v>0</v>
      </c>
      <c r="Y46" s="176" t="str">
        <f t="shared" si="13"/>
        <v/>
      </c>
      <c r="AA46" s="13"/>
      <c r="AB46" s="14"/>
      <c r="AC46" s="13"/>
      <c r="AD46" s="15"/>
    </row>
    <row r="47" spans="1:30" x14ac:dyDescent="0.3">
      <c r="A47" s="90">
        <v>7500255</v>
      </c>
      <c r="B47" s="69" t="s">
        <v>67</v>
      </c>
      <c r="C47" s="146" t="s">
        <v>15</v>
      </c>
      <c r="D47" s="48" t="s">
        <v>8</v>
      </c>
      <c r="E47" s="49" t="s">
        <v>9</v>
      </c>
      <c r="F47" s="101"/>
      <c r="G47" s="149">
        <v>0.47499999999999998</v>
      </c>
      <c r="H47" s="16">
        <v>20</v>
      </c>
      <c r="I47" s="17">
        <v>50</v>
      </c>
      <c r="J47" s="18">
        <f t="shared" si="14"/>
        <v>0</v>
      </c>
      <c r="K47" s="19">
        <f t="shared" si="20"/>
        <v>0</v>
      </c>
      <c r="L47" s="16">
        <v>20</v>
      </c>
      <c r="M47" s="20">
        <v>1000</v>
      </c>
      <c r="N47" s="21">
        <f t="shared" si="21"/>
        <v>0</v>
      </c>
      <c r="O47" s="19">
        <f t="shared" si="22"/>
        <v>0</v>
      </c>
      <c r="P47" s="76">
        <f t="shared" si="15"/>
        <v>0</v>
      </c>
      <c r="Q47" s="205">
        <f t="shared" si="23"/>
        <v>0</v>
      </c>
      <c r="R47" s="202">
        <f t="shared" si="16"/>
        <v>0</v>
      </c>
      <c r="S47" s="139">
        <f t="shared" si="17"/>
        <v>0</v>
      </c>
      <c r="T47" s="139">
        <f t="shared" si="11"/>
        <v>0</v>
      </c>
      <c r="U47" s="140">
        <v>0.44800000000000001</v>
      </c>
      <c r="V47" s="140">
        <f t="shared" si="18"/>
        <v>0</v>
      </c>
      <c r="W47" s="140">
        <f t="shared" si="19"/>
        <v>0</v>
      </c>
      <c r="X47" s="140">
        <f t="shared" si="24"/>
        <v>0</v>
      </c>
      <c r="Y47" s="176" t="str">
        <f t="shared" si="13"/>
        <v/>
      </c>
      <c r="AA47" s="13"/>
      <c r="AB47" s="14"/>
      <c r="AC47" s="13"/>
      <c r="AD47" s="15"/>
    </row>
    <row r="48" spans="1:30" x14ac:dyDescent="0.3">
      <c r="A48" s="90">
        <v>7500256</v>
      </c>
      <c r="B48" s="69" t="s">
        <v>68</v>
      </c>
      <c r="C48" s="146" t="s">
        <v>17</v>
      </c>
      <c r="D48" s="48" t="s">
        <v>8</v>
      </c>
      <c r="E48" s="49" t="s">
        <v>9</v>
      </c>
      <c r="F48" s="101"/>
      <c r="G48" s="149">
        <v>0.58699999999999997</v>
      </c>
      <c r="H48" s="151">
        <v>10</v>
      </c>
      <c r="I48" s="17">
        <v>25</v>
      </c>
      <c r="J48" s="18">
        <f t="shared" si="14"/>
        <v>0</v>
      </c>
      <c r="K48" s="19">
        <f t="shared" si="20"/>
        <v>0</v>
      </c>
      <c r="L48" s="16">
        <v>40</v>
      </c>
      <c r="M48" s="20">
        <v>1000</v>
      </c>
      <c r="N48" s="21">
        <f t="shared" si="21"/>
        <v>0</v>
      </c>
      <c r="O48" s="19">
        <f t="shared" si="22"/>
        <v>0</v>
      </c>
      <c r="P48" s="76">
        <f t="shared" si="15"/>
        <v>0</v>
      </c>
      <c r="Q48" s="205">
        <f t="shared" si="23"/>
        <v>0</v>
      </c>
      <c r="R48" s="202">
        <f t="shared" si="16"/>
        <v>0</v>
      </c>
      <c r="S48" s="139">
        <f t="shared" si="17"/>
        <v>0</v>
      </c>
      <c r="T48" s="139">
        <f t="shared" si="11"/>
        <v>0</v>
      </c>
      <c r="U48" s="140">
        <v>0.44800000000000001</v>
      </c>
      <c r="V48" s="140">
        <f t="shared" si="18"/>
        <v>0</v>
      </c>
      <c r="W48" s="140">
        <f t="shared" si="19"/>
        <v>0</v>
      </c>
      <c r="X48" s="140">
        <f t="shared" si="24"/>
        <v>0</v>
      </c>
      <c r="Y48" s="176" t="str">
        <f t="shared" si="13"/>
        <v/>
      </c>
      <c r="AA48" s="13"/>
      <c r="AB48" s="14"/>
      <c r="AC48" s="13"/>
      <c r="AD48" s="15"/>
    </row>
    <row r="49" spans="1:30" ht="14.5" thickBot="1" x14ac:dyDescent="0.35">
      <c r="A49" s="94">
        <v>7500257</v>
      </c>
      <c r="B49" s="73" t="s">
        <v>69</v>
      </c>
      <c r="C49" s="147" t="s">
        <v>19</v>
      </c>
      <c r="D49" s="50" t="s">
        <v>8</v>
      </c>
      <c r="E49" s="51" t="s">
        <v>9</v>
      </c>
      <c r="F49" s="102"/>
      <c r="G49" s="150">
        <v>0.75600000000000001</v>
      </c>
      <c r="H49" s="31">
        <v>10</v>
      </c>
      <c r="I49" s="30">
        <v>25</v>
      </c>
      <c r="J49" s="26">
        <f t="shared" si="14"/>
        <v>0</v>
      </c>
      <c r="K49" s="27">
        <f t="shared" si="20"/>
        <v>0</v>
      </c>
      <c r="L49" s="31">
        <v>30</v>
      </c>
      <c r="M49" s="28">
        <v>750</v>
      </c>
      <c r="N49" s="29">
        <f t="shared" si="21"/>
        <v>0</v>
      </c>
      <c r="O49" s="27">
        <f t="shared" si="22"/>
        <v>0</v>
      </c>
      <c r="P49" s="77">
        <f t="shared" si="15"/>
        <v>0</v>
      </c>
      <c r="Q49" s="206">
        <f t="shared" si="23"/>
        <v>0</v>
      </c>
      <c r="R49" s="203">
        <f t="shared" si="16"/>
        <v>0</v>
      </c>
      <c r="S49" s="141">
        <f t="shared" si="17"/>
        <v>0</v>
      </c>
      <c r="T49" s="141">
        <f t="shared" si="11"/>
        <v>0</v>
      </c>
      <c r="U49" s="142">
        <v>0.44800000000000001</v>
      </c>
      <c r="V49" s="142">
        <f t="shared" si="18"/>
        <v>0</v>
      </c>
      <c r="W49" s="142">
        <f t="shared" si="19"/>
        <v>0</v>
      </c>
      <c r="X49" s="142">
        <f t="shared" si="24"/>
        <v>0</v>
      </c>
      <c r="Y49" s="176" t="str">
        <f t="shared" si="13"/>
        <v/>
      </c>
      <c r="AA49" s="13"/>
      <c r="AB49" s="14"/>
      <c r="AC49" s="13"/>
      <c r="AD49" s="15"/>
    </row>
    <row r="50" spans="1:30" x14ac:dyDescent="0.3">
      <c r="A50" s="89">
        <v>7042104</v>
      </c>
      <c r="B50" s="126" t="s">
        <v>1</v>
      </c>
      <c r="C50" s="62" t="s">
        <v>12</v>
      </c>
      <c r="D50" s="46" t="s">
        <v>8</v>
      </c>
      <c r="E50" s="47" t="s">
        <v>9</v>
      </c>
      <c r="F50" s="100"/>
      <c r="G50" s="37">
        <v>0.308</v>
      </c>
      <c r="H50" s="7">
        <v>10</v>
      </c>
      <c r="I50" s="8">
        <v>50</v>
      </c>
      <c r="J50" s="9">
        <f t="shared" si="14"/>
        <v>0</v>
      </c>
      <c r="K50" s="10">
        <f t="shared" si="7"/>
        <v>0</v>
      </c>
      <c r="L50" s="7">
        <v>40</v>
      </c>
      <c r="M50" s="11">
        <v>2000</v>
      </c>
      <c r="N50" s="12">
        <f t="shared" si="8"/>
        <v>0</v>
      </c>
      <c r="O50" s="10">
        <f t="shared" si="9"/>
        <v>0</v>
      </c>
      <c r="P50" s="78">
        <f t="shared" si="15"/>
        <v>0</v>
      </c>
      <c r="Q50" s="204">
        <f t="shared" si="10"/>
        <v>0</v>
      </c>
      <c r="R50" s="201">
        <f t="shared" si="16"/>
        <v>0</v>
      </c>
      <c r="S50" s="137">
        <f t="shared" si="17"/>
        <v>0</v>
      </c>
      <c r="T50" s="137">
        <f t="shared" si="11"/>
        <v>0</v>
      </c>
      <c r="U50" s="138">
        <v>0.89600000000000002</v>
      </c>
      <c r="V50" s="138">
        <f t="shared" si="18"/>
        <v>0</v>
      </c>
      <c r="W50" s="138">
        <f t="shared" si="19"/>
        <v>0</v>
      </c>
      <c r="X50" s="138">
        <f t="shared" si="12"/>
        <v>0</v>
      </c>
      <c r="Y50" s="176" t="str">
        <f t="shared" si="13"/>
        <v/>
      </c>
      <c r="AA50" s="13"/>
      <c r="AB50" s="14"/>
      <c r="AC50" s="13"/>
      <c r="AD50" s="15"/>
    </row>
    <row r="51" spans="1:30" x14ac:dyDescent="0.3">
      <c r="A51" s="90">
        <v>7042106</v>
      </c>
      <c r="B51" s="127" t="s">
        <v>1</v>
      </c>
      <c r="C51" s="63" t="s">
        <v>13</v>
      </c>
      <c r="D51" s="48" t="s">
        <v>8</v>
      </c>
      <c r="E51" s="49" t="s">
        <v>9</v>
      </c>
      <c r="F51" s="101"/>
      <c r="G51" s="38">
        <v>0.39100000000000001</v>
      </c>
      <c r="H51" s="16">
        <v>10</v>
      </c>
      <c r="I51" s="17">
        <v>50</v>
      </c>
      <c r="J51" s="18">
        <f t="shared" si="14"/>
        <v>0</v>
      </c>
      <c r="K51" s="19">
        <f t="shared" si="7"/>
        <v>0</v>
      </c>
      <c r="L51" s="16">
        <v>40</v>
      </c>
      <c r="M51" s="20">
        <v>2000</v>
      </c>
      <c r="N51" s="21">
        <f t="shared" si="8"/>
        <v>0</v>
      </c>
      <c r="O51" s="19">
        <f t="shared" si="9"/>
        <v>0</v>
      </c>
      <c r="P51" s="76">
        <f t="shared" si="15"/>
        <v>0</v>
      </c>
      <c r="Q51" s="205">
        <f t="shared" si="10"/>
        <v>0</v>
      </c>
      <c r="R51" s="202">
        <f t="shared" si="16"/>
        <v>0</v>
      </c>
      <c r="S51" s="139">
        <f t="shared" si="17"/>
        <v>0</v>
      </c>
      <c r="T51" s="139">
        <f t="shared" si="11"/>
        <v>0</v>
      </c>
      <c r="U51" s="140">
        <v>0.89600000000000002</v>
      </c>
      <c r="V51" s="140">
        <f t="shared" si="18"/>
        <v>0</v>
      </c>
      <c r="W51" s="140">
        <f t="shared" si="19"/>
        <v>0</v>
      </c>
      <c r="X51" s="140">
        <f t="shared" si="12"/>
        <v>0</v>
      </c>
      <c r="Y51" s="176" t="str">
        <f t="shared" si="13"/>
        <v/>
      </c>
      <c r="AA51" s="13"/>
      <c r="AB51" s="14"/>
      <c r="AC51" s="13"/>
      <c r="AD51" s="15"/>
    </row>
    <row r="52" spans="1:30" x14ac:dyDescent="0.3">
      <c r="A52" s="90">
        <v>7042109</v>
      </c>
      <c r="B52" s="127" t="s">
        <v>1</v>
      </c>
      <c r="C52" s="63" t="s">
        <v>15</v>
      </c>
      <c r="D52" s="48" t="s">
        <v>8</v>
      </c>
      <c r="E52" s="49" t="s">
        <v>9</v>
      </c>
      <c r="F52" s="101"/>
      <c r="G52" s="38">
        <v>0.47499999999999998</v>
      </c>
      <c r="H52" s="16">
        <v>10</v>
      </c>
      <c r="I52" s="17">
        <v>50</v>
      </c>
      <c r="J52" s="18">
        <f t="shared" si="14"/>
        <v>0</v>
      </c>
      <c r="K52" s="19">
        <f t="shared" si="7"/>
        <v>0</v>
      </c>
      <c r="L52" s="16">
        <v>40</v>
      </c>
      <c r="M52" s="20">
        <v>2000</v>
      </c>
      <c r="N52" s="21">
        <f t="shared" si="8"/>
        <v>0</v>
      </c>
      <c r="O52" s="19">
        <f t="shared" si="9"/>
        <v>0</v>
      </c>
      <c r="P52" s="76">
        <f t="shared" si="15"/>
        <v>0</v>
      </c>
      <c r="Q52" s="205">
        <f t="shared" si="10"/>
        <v>0</v>
      </c>
      <c r="R52" s="202">
        <f t="shared" si="16"/>
        <v>0</v>
      </c>
      <c r="S52" s="139">
        <f t="shared" si="17"/>
        <v>0</v>
      </c>
      <c r="T52" s="139">
        <f t="shared" si="11"/>
        <v>0</v>
      </c>
      <c r="U52" s="140">
        <v>0.89600000000000002</v>
      </c>
      <c r="V52" s="140">
        <f t="shared" si="18"/>
        <v>0</v>
      </c>
      <c r="W52" s="140">
        <f t="shared" si="19"/>
        <v>0</v>
      </c>
      <c r="X52" s="140">
        <f t="shared" si="12"/>
        <v>0</v>
      </c>
      <c r="Y52" s="176" t="str">
        <f t="shared" si="13"/>
        <v/>
      </c>
      <c r="AA52" s="13"/>
      <c r="AB52" s="14"/>
      <c r="AC52" s="13"/>
      <c r="AD52" s="15"/>
    </row>
    <row r="53" spans="1:30" x14ac:dyDescent="0.3">
      <c r="A53" s="90">
        <v>7042111</v>
      </c>
      <c r="B53" s="127" t="s">
        <v>1</v>
      </c>
      <c r="C53" s="63" t="s">
        <v>17</v>
      </c>
      <c r="D53" s="48" t="s">
        <v>8</v>
      </c>
      <c r="E53" s="49" t="s">
        <v>9</v>
      </c>
      <c r="F53" s="101"/>
      <c r="G53" s="38">
        <v>0.58699999999999997</v>
      </c>
      <c r="H53" s="16">
        <v>10</v>
      </c>
      <c r="I53" s="17">
        <v>50</v>
      </c>
      <c r="J53" s="18">
        <f t="shared" si="14"/>
        <v>0</v>
      </c>
      <c r="K53" s="19">
        <f t="shared" si="7"/>
        <v>0</v>
      </c>
      <c r="L53" s="16">
        <v>30</v>
      </c>
      <c r="M53" s="20">
        <v>1500</v>
      </c>
      <c r="N53" s="21">
        <f t="shared" si="8"/>
        <v>0</v>
      </c>
      <c r="O53" s="19">
        <f t="shared" si="9"/>
        <v>0</v>
      </c>
      <c r="P53" s="76">
        <f t="shared" si="15"/>
        <v>0</v>
      </c>
      <c r="Q53" s="205">
        <f t="shared" si="10"/>
        <v>0</v>
      </c>
      <c r="R53" s="202">
        <f t="shared" si="16"/>
        <v>0</v>
      </c>
      <c r="S53" s="139">
        <f t="shared" si="17"/>
        <v>0</v>
      </c>
      <c r="T53" s="139">
        <f t="shared" si="11"/>
        <v>0</v>
      </c>
      <c r="U53" s="140">
        <v>0.89600000000000002</v>
      </c>
      <c r="V53" s="140">
        <f t="shared" si="18"/>
        <v>0</v>
      </c>
      <c r="W53" s="140">
        <f t="shared" si="19"/>
        <v>0</v>
      </c>
      <c r="X53" s="140">
        <f t="shared" si="12"/>
        <v>0</v>
      </c>
      <c r="Y53" s="176" t="str">
        <f t="shared" si="13"/>
        <v/>
      </c>
      <c r="AA53" s="13"/>
      <c r="AB53" s="14"/>
      <c r="AC53" s="32"/>
      <c r="AD53" s="15"/>
    </row>
    <row r="54" spans="1:30" x14ac:dyDescent="0.3">
      <c r="A54" s="90">
        <v>7119644</v>
      </c>
      <c r="B54" s="127" t="s">
        <v>1</v>
      </c>
      <c r="C54" s="63" t="s">
        <v>19</v>
      </c>
      <c r="D54" s="48" t="s">
        <v>8</v>
      </c>
      <c r="E54" s="49" t="s">
        <v>9</v>
      </c>
      <c r="F54" s="101"/>
      <c r="G54" s="38">
        <v>0.755</v>
      </c>
      <c r="H54" s="16">
        <v>5</v>
      </c>
      <c r="I54" s="17">
        <v>25</v>
      </c>
      <c r="J54" s="18">
        <f t="shared" si="14"/>
        <v>0</v>
      </c>
      <c r="K54" s="19">
        <f t="shared" si="7"/>
        <v>0</v>
      </c>
      <c r="L54" s="16">
        <v>30</v>
      </c>
      <c r="M54" s="20">
        <v>750</v>
      </c>
      <c r="N54" s="21">
        <f t="shared" si="8"/>
        <v>0</v>
      </c>
      <c r="O54" s="19">
        <f t="shared" si="9"/>
        <v>0</v>
      </c>
      <c r="P54" s="76">
        <f t="shared" si="15"/>
        <v>0</v>
      </c>
      <c r="Q54" s="205">
        <f t="shared" si="10"/>
        <v>0</v>
      </c>
      <c r="R54" s="202">
        <f t="shared" si="16"/>
        <v>0</v>
      </c>
      <c r="S54" s="139">
        <f t="shared" si="17"/>
        <v>0</v>
      </c>
      <c r="T54" s="139">
        <f t="shared" si="11"/>
        <v>0</v>
      </c>
      <c r="U54" s="140">
        <v>0.89600000000000002</v>
      </c>
      <c r="V54" s="140">
        <f t="shared" si="18"/>
        <v>0</v>
      </c>
      <c r="W54" s="140">
        <f t="shared" si="19"/>
        <v>0</v>
      </c>
      <c r="X54" s="140">
        <f t="shared" si="12"/>
        <v>0</v>
      </c>
      <c r="Y54" s="176" t="str">
        <f t="shared" si="13"/>
        <v/>
      </c>
      <c r="AA54" s="13"/>
      <c r="AB54" s="14"/>
      <c r="AC54" s="32"/>
      <c r="AD54" s="15"/>
    </row>
    <row r="55" spans="1:30" x14ac:dyDescent="0.3">
      <c r="A55" s="90">
        <v>7119640</v>
      </c>
      <c r="B55" s="127" t="s">
        <v>1</v>
      </c>
      <c r="C55" s="63" t="s">
        <v>22</v>
      </c>
      <c r="D55" s="48" t="s">
        <v>8</v>
      </c>
      <c r="E55" s="49" t="s">
        <v>9</v>
      </c>
      <c r="F55" s="101"/>
      <c r="G55" s="38">
        <v>1.1339999999999999</v>
      </c>
      <c r="H55" s="16">
        <v>5</v>
      </c>
      <c r="I55" s="17">
        <v>25</v>
      </c>
      <c r="J55" s="18">
        <f t="shared" si="14"/>
        <v>0</v>
      </c>
      <c r="K55" s="19">
        <f t="shared" si="7"/>
        <v>0</v>
      </c>
      <c r="L55" s="16">
        <v>20</v>
      </c>
      <c r="M55" s="20">
        <v>500</v>
      </c>
      <c r="N55" s="21">
        <f t="shared" si="8"/>
        <v>0</v>
      </c>
      <c r="O55" s="19">
        <f t="shared" si="9"/>
        <v>0</v>
      </c>
      <c r="P55" s="76">
        <f t="shared" si="15"/>
        <v>0</v>
      </c>
      <c r="Q55" s="205">
        <f t="shared" si="10"/>
        <v>0</v>
      </c>
      <c r="R55" s="202">
        <f t="shared" si="16"/>
        <v>0</v>
      </c>
      <c r="S55" s="139">
        <f t="shared" si="17"/>
        <v>0</v>
      </c>
      <c r="T55" s="139">
        <f t="shared" si="11"/>
        <v>0</v>
      </c>
      <c r="U55" s="140">
        <v>0.89600000000000002</v>
      </c>
      <c r="V55" s="140">
        <f t="shared" si="18"/>
        <v>0</v>
      </c>
      <c r="W55" s="140">
        <f t="shared" si="19"/>
        <v>0</v>
      </c>
      <c r="X55" s="140">
        <f t="shared" si="12"/>
        <v>0</v>
      </c>
      <c r="Y55" s="176" t="str">
        <f t="shared" si="13"/>
        <v/>
      </c>
      <c r="AA55" s="13"/>
      <c r="AB55" s="14"/>
      <c r="AC55" s="32"/>
      <c r="AD55" s="15"/>
    </row>
    <row r="56" spans="1:30" x14ac:dyDescent="0.3">
      <c r="A56" s="90">
        <v>7119641</v>
      </c>
      <c r="B56" s="127" t="s">
        <v>1</v>
      </c>
      <c r="C56" s="63" t="s">
        <v>25</v>
      </c>
      <c r="D56" s="48" t="s">
        <v>8</v>
      </c>
      <c r="E56" s="49" t="s">
        <v>9</v>
      </c>
      <c r="F56" s="101"/>
      <c r="G56" s="38">
        <v>1.369</v>
      </c>
      <c r="H56" s="16">
        <v>5</v>
      </c>
      <c r="I56" s="17">
        <v>25</v>
      </c>
      <c r="J56" s="18">
        <f t="shared" si="14"/>
        <v>0</v>
      </c>
      <c r="K56" s="19">
        <f t="shared" si="7"/>
        <v>0</v>
      </c>
      <c r="L56" s="16">
        <v>20</v>
      </c>
      <c r="M56" s="20">
        <v>500</v>
      </c>
      <c r="N56" s="21">
        <f t="shared" si="8"/>
        <v>0</v>
      </c>
      <c r="O56" s="19">
        <f t="shared" si="9"/>
        <v>0</v>
      </c>
      <c r="P56" s="76">
        <f t="shared" si="15"/>
        <v>0</v>
      </c>
      <c r="Q56" s="205">
        <f t="shared" si="10"/>
        <v>0</v>
      </c>
      <c r="R56" s="202">
        <f t="shared" si="16"/>
        <v>0</v>
      </c>
      <c r="S56" s="139">
        <f t="shared" si="17"/>
        <v>0</v>
      </c>
      <c r="T56" s="139">
        <f t="shared" si="11"/>
        <v>0</v>
      </c>
      <c r="U56" s="140">
        <v>0.89600000000000002</v>
      </c>
      <c r="V56" s="140">
        <f t="shared" si="18"/>
        <v>0</v>
      </c>
      <c r="W56" s="140">
        <f t="shared" si="19"/>
        <v>0</v>
      </c>
      <c r="X56" s="140">
        <f t="shared" si="12"/>
        <v>0</v>
      </c>
      <c r="Y56" s="176" t="str">
        <f t="shared" si="13"/>
        <v/>
      </c>
      <c r="AA56" s="13"/>
      <c r="AB56" s="14"/>
      <c r="AC56" s="32"/>
      <c r="AD56" s="15"/>
    </row>
    <row r="57" spans="1:30" ht="14.5" thickBot="1" x14ac:dyDescent="0.35">
      <c r="A57" s="94">
        <v>7119642</v>
      </c>
      <c r="B57" s="128" t="s">
        <v>1</v>
      </c>
      <c r="C57" s="64" t="s">
        <v>27</v>
      </c>
      <c r="D57" s="50" t="s">
        <v>8</v>
      </c>
      <c r="E57" s="51" t="s">
        <v>9</v>
      </c>
      <c r="F57" s="102"/>
      <c r="G57" s="39">
        <v>2.202</v>
      </c>
      <c r="H57" s="31">
        <v>3</v>
      </c>
      <c r="I57" s="30">
        <v>15</v>
      </c>
      <c r="J57" s="26">
        <f t="shared" si="14"/>
        <v>0</v>
      </c>
      <c r="K57" s="27">
        <f t="shared" si="7"/>
        <v>0</v>
      </c>
      <c r="L57" s="31">
        <v>20</v>
      </c>
      <c r="M57" s="28">
        <v>300</v>
      </c>
      <c r="N57" s="29">
        <f t="shared" si="8"/>
        <v>0</v>
      </c>
      <c r="O57" s="27">
        <f t="shared" si="9"/>
        <v>0</v>
      </c>
      <c r="P57" s="77">
        <f t="shared" si="15"/>
        <v>0</v>
      </c>
      <c r="Q57" s="206">
        <f t="shared" si="10"/>
        <v>0</v>
      </c>
      <c r="R57" s="203">
        <f t="shared" si="16"/>
        <v>0</v>
      </c>
      <c r="S57" s="141">
        <f t="shared" si="17"/>
        <v>0</v>
      </c>
      <c r="T57" s="141">
        <f t="shared" si="11"/>
        <v>0</v>
      </c>
      <c r="U57" s="142">
        <v>0.89600000000000002</v>
      </c>
      <c r="V57" s="142">
        <f t="shared" si="18"/>
        <v>0</v>
      </c>
      <c r="W57" s="142">
        <f t="shared" si="19"/>
        <v>0</v>
      </c>
      <c r="X57" s="142">
        <f t="shared" si="12"/>
        <v>0</v>
      </c>
      <c r="Y57" s="176" t="str">
        <f t="shared" si="13"/>
        <v/>
      </c>
      <c r="AA57" s="13"/>
      <c r="AB57" s="14"/>
      <c r="AC57" s="32"/>
      <c r="AD57" s="15"/>
    </row>
    <row r="58" spans="1:30" x14ac:dyDescent="0.3">
      <c r="A58" s="89">
        <v>7042124</v>
      </c>
      <c r="B58" s="126" t="s">
        <v>1</v>
      </c>
      <c r="C58" s="62" t="s">
        <v>38</v>
      </c>
      <c r="D58" s="46" t="s">
        <v>39</v>
      </c>
      <c r="E58" s="47" t="s">
        <v>40</v>
      </c>
      <c r="F58" s="100"/>
      <c r="G58" s="37">
        <v>0.14000000000000001</v>
      </c>
      <c r="H58" s="7">
        <v>1</v>
      </c>
      <c r="I58" s="8">
        <v>25</v>
      </c>
      <c r="J58" s="9">
        <f t="shared" si="14"/>
        <v>0</v>
      </c>
      <c r="K58" s="10">
        <f t="shared" si="7"/>
        <v>0</v>
      </c>
      <c r="L58" s="7">
        <v>40</v>
      </c>
      <c r="M58" s="11">
        <v>1000</v>
      </c>
      <c r="N58" s="12">
        <f t="shared" si="8"/>
        <v>0</v>
      </c>
      <c r="O58" s="10">
        <f t="shared" si="9"/>
        <v>0</v>
      </c>
      <c r="P58" s="78">
        <f t="shared" si="15"/>
        <v>0</v>
      </c>
      <c r="Q58" s="204">
        <f t="shared" si="10"/>
        <v>0</v>
      </c>
      <c r="R58" s="201">
        <f t="shared" si="16"/>
        <v>0</v>
      </c>
      <c r="S58" s="137">
        <f t="shared" si="17"/>
        <v>0</v>
      </c>
      <c r="T58" s="137">
        <f t="shared" si="11"/>
        <v>0</v>
      </c>
      <c r="U58" s="138">
        <v>0.89600000000000002</v>
      </c>
      <c r="V58" s="138">
        <f t="shared" si="18"/>
        <v>0</v>
      </c>
      <c r="W58" s="138">
        <f t="shared" si="19"/>
        <v>0</v>
      </c>
      <c r="X58" s="138">
        <f t="shared" si="12"/>
        <v>0</v>
      </c>
      <c r="Y58" s="176" t="str">
        <f t="shared" si="13"/>
        <v/>
      </c>
      <c r="AA58" s="13"/>
      <c r="AB58" s="14"/>
      <c r="AC58" s="32"/>
      <c r="AD58" s="15"/>
    </row>
    <row r="59" spans="1:30" x14ac:dyDescent="0.3">
      <c r="A59" s="90">
        <v>7042128</v>
      </c>
      <c r="B59" s="127" t="s">
        <v>1</v>
      </c>
      <c r="C59" s="63" t="s">
        <v>41</v>
      </c>
      <c r="D59" s="48" t="s">
        <v>39</v>
      </c>
      <c r="E59" s="49" t="s">
        <v>40</v>
      </c>
      <c r="F59" s="101"/>
      <c r="G59" s="38">
        <v>0.19600000000000001</v>
      </c>
      <c r="H59" s="16">
        <v>1</v>
      </c>
      <c r="I59" s="17">
        <v>25</v>
      </c>
      <c r="J59" s="18">
        <f t="shared" si="14"/>
        <v>0</v>
      </c>
      <c r="K59" s="19">
        <f t="shared" si="7"/>
        <v>0</v>
      </c>
      <c r="L59" s="16">
        <v>40</v>
      </c>
      <c r="M59" s="20">
        <v>1000</v>
      </c>
      <c r="N59" s="21">
        <f t="shared" si="8"/>
        <v>0</v>
      </c>
      <c r="O59" s="19">
        <f t="shared" si="9"/>
        <v>0</v>
      </c>
      <c r="P59" s="76">
        <f t="shared" si="15"/>
        <v>0</v>
      </c>
      <c r="Q59" s="205">
        <f t="shared" si="10"/>
        <v>0</v>
      </c>
      <c r="R59" s="202">
        <f t="shared" si="16"/>
        <v>0</v>
      </c>
      <c r="S59" s="139">
        <f t="shared" si="17"/>
        <v>0</v>
      </c>
      <c r="T59" s="139">
        <f t="shared" si="11"/>
        <v>0</v>
      </c>
      <c r="U59" s="140">
        <v>0.89600000000000002</v>
      </c>
      <c r="V59" s="140">
        <f t="shared" si="18"/>
        <v>0</v>
      </c>
      <c r="W59" s="140">
        <f t="shared" si="19"/>
        <v>0</v>
      </c>
      <c r="X59" s="140">
        <f t="shared" si="12"/>
        <v>0</v>
      </c>
      <c r="Y59" s="176" t="str">
        <f t="shared" si="13"/>
        <v/>
      </c>
      <c r="AA59" s="13"/>
      <c r="AB59" s="14"/>
      <c r="AC59" s="13"/>
      <c r="AD59" s="15"/>
    </row>
    <row r="60" spans="1:30" x14ac:dyDescent="0.3">
      <c r="A60" s="90">
        <v>7042135</v>
      </c>
      <c r="B60" s="127" t="s">
        <v>1</v>
      </c>
      <c r="C60" s="63" t="s">
        <v>11</v>
      </c>
      <c r="D60" s="48" t="s">
        <v>39</v>
      </c>
      <c r="E60" s="49" t="s">
        <v>40</v>
      </c>
      <c r="F60" s="101"/>
      <c r="G60" s="38">
        <v>0.252</v>
      </c>
      <c r="H60" s="16">
        <v>1</v>
      </c>
      <c r="I60" s="17">
        <v>25</v>
      </c>
      <c r="J60" s="18">
        <f t="shared" si="14"/>
        <v>0</v>
      </c>
      <c r="K60" s="19">
        <f t="shared" si="7"/>
        <v>0</v>
      </c>
      <c r="L60" s="16">
        <v>40</v>
      </c>
      <c r="M60" s="20">
        <v>1000</v>
      </c>
      <c r="N60" s="21">
        <f t="shared" si="8"/>
        <v>0</v>
      </c>
      <c r="O60" s="19">
        <f t="shared" si="9"/>
        <v>0</v>
      </c>
      <c r="P60" s="76">
        <f t="shared" si="15"/>
        <v>0</v>
      </c>
      <c r="Q60" s="205">
        <f t="shared" si="10"/>
        <v>0</v>
      </c>
      <c r="R60" s="202">
        <f t="shared" si="16"/>
        <v>0</v>
      </c>
      <c r="S60" s="139">
        <f t="shared" si="17"/>
        <v>0</v>
      </c>
      <c r="T60" s="139">
        <f t="shared" si="11"/>
        <v>0</v>
      </c>
      <c r="U60" s="140">
        <v>0.89600000000000002</v>
      </c>
      <c r="V60" s="140">
        <f t="shared" si="18"/>
        <v>0</v>
      </c>
      <c r="W60" s="140">
        <f t="shared" si="19"/>
        <v>0</v>
      </c>
      <c r="X60" s="140">
        <f t="shared" si="12"/>
        <v>0</v>
      </c>
      <c r="Y60" s="176" t="str">
        <f t="shared" si="13"/>
        <v/>
      </c>
      <c r="AA60" s="13"/>
      <c r="AB60" s="14"/>
      <c r="AC60" s="13"/>
      <c r="AD60" s="15"/>
    </row>
    <row r="61" spans="1:30" x14ac:dyDescent="0.3">
      <c r="A61" s="90">
        <v>7042140</v>
      </c>
      <c r="B61" s="127" t="s">
        <v>1</v>
      </c>
      <c r="C61" s="63" t="s">
        <v>12</v>
      </c>
      <c r="D61" s="48" t="s">
        <v>39</v>
      </c>
      <c r="E61" s="49" t="s">
        <v>40</v>
      </c>
      <c r="F61" s="101"/>
      <c r="G61" s="38">
        <v>0.308</v>
      </c>
      <c r="H61" s="16">
        <v>1</v>
      </c>
      <c r="I61" s="17">
        <v>25</v>
      </c>
      <c r="J61" s="18">
        <f t="shared" si="14"/>
        <v>0</v>
      </c>
      <c r="K61" s="19">
        <f t="shared" si="7"/>
        <v>0</v>
      </c>
      <c r="L61" s="16">
        <v>35</v>
      </c>
      <c r="M61" s="20">
        <v>875</v>
      </c>
      <c r="N61" s="21">
        <f t="shared" si="8"/>
        <v>0</v>
      </c>
      <c r="O61" s="19">
        <f t="shared" si="9"/>
        <v>0</v>
      </c>
      <c r="P61" s="76">
        <f t="shared" si="15"/>
        <v>0</v>
      </c>
      <c r="Q61" s="205">
        <f t="shared" si="10"/>
        <v>0</v>
      </c>
      <c r="R61" s="202">
        <f t="shared" si="16"/>
        <v>0</v>
      </c>
      <c r="S61" s="139">
        <f t="shared" si="17"/>
        <v>0</v>
      </c>
      <c r="T61" s="139">
        <f t="shared" si="11"/>
        <v>0</v>
      </c>
      <c r="U61" s="140">
        <v>0.89600000000000002</v>
      </c>
      <c r="V61" s="140">
        <f t="shared" si="18"/>
        <v>0</v>
      </c>
      <c r="W61" s="140">
        <f t="shared" si="19"/>
        <v>0</v>
      </c>
      <c r="X61" s="140">
        <f t="shared" si="12"/>
        <v>0</v>
      </c>
      <c r="Y61" s="176" t="str">
        <f t="shared" si="13"/>
        <v/>
      </c>
    </row>
    <row r="62" spans="1:30" x14ac:dyDescent="0.3">
      <c r="A62" s="90">
        <v>7042151</v>
      </c>
      <c r="B62" s="127" t="s">
        <v>1</v>
      </c>
      <c r="C62" s="63" t="s">
        <v>13</v>
      </c>
      <c r="D62" s="48" t="s">
        <v>39</v>
      </c>
      <c r="E62" s="49" t="s">
        <v>40</v>
      </c>
      <c r="F62" s="101"/>
      <c r="G62" s="38">
        <v>0.39100000000000001</v>
      </c>
      <c r="H62" s="16">
        <v>1</v>
      </c>
      <c r="I62" s="17">
        <v>25</v>
      </c>
      <c r="J62" s="18">
        <f t="shared" si="14"/>
        <v>0</v>
      </c>
      <c r="K62" s="19">
        <f t="shared" si="7"/>
        <v>0</v>
      </c>
      <c r="L62" s="16">
        <v>30</v>
      </c>
      <c r="M62" s="20">
        <v>750</v>
      </c>
      <c r="N62" s="21">
        <f t="shared" si="8"/>
        <v>0</v>
      </c>
      <c r="O62" s="19">
        <f t="shared" si="9"/>
        <v>0</v>
      </c>
      <c r="P62" s="76">
        <f t="shared" si="15"/>
        <v>0</v>
      </c>
      <c r="Q62" s="205">
        <f t="shared" si="10"/>
        <v>0</v>
      </c>
      <c r="R62" s="202">
        <f t="shared" si="16"/>
        <v>0</v>
      </c>
      <c r="S62" s="139">
        <f t="shared" si="17"/>
        <v>0</v>
      </c>
      <c r="T62" s="139">
        <f t="shared" si="11"/>
        <v>0</v>
      </c>
      <c r="U62" s="140">
        <v>0.89600000000000002</v>
      </c>
      <c r="V62" s="140">
        <f t="shared" si="18"/>
        <v>0</v>
      </c>
      <c r="W62" s="140">
        <f t="shared" si="19"/>
        <v>0</v>
      </c>
      <c r="X62" s="140">
        <f t="shared" si="12"/>
        <v>0</v>
      </c>
      <c r="Y62" s="176" t="str">
        <f t="shared" si="13"/>
        <v/>
      </c>
    </row>
    <row r="63" spans="1:30" x14ac:dyDescent="0.3">
      <c r="A63" s="90">
        <v>7042155</v>
      </c>
      <c r="B63" s="127" t="s">
        <v>1</v>
      </c>
      <c r="C63" s="63" t="s">
        <v>15</v>
      </c>
      <c r="D63" s="48" t="s">
        <v>39</v>
      </c>
      <c r="E63" s="49" t="s">
        <v>40</v>
      </c>
      <c r="F63" s="101"/>
      <c r="G63" s="38">
        <v>0.47499999999999998</v>
      </c>
      <c r="H63" s="16">
        <v>1</v>
      </c>
      <c r="I63" s="17">
        <v>25</v>
      </c>
      <c r="J63" s="18">
        <f t="shared" si="14"/>
        <v>0</v>
      </c>
      <c r="K63" s="19">
        <f t="shared" si="7"/>
        <v>0</v>
      </c>
      <c r="L63" s="16">
        <v>25</v>
      </c>
      <c r="M63" s="20">
        <v>625</v>
      </c>
      <c r="N63" s="21">
        <f t="shared" si="8"/>
        <v>0</v>
      </c>
      <c r="O63" s="19">
        <f t="shared" si="9"/>
        <v>0</v>
      </c>
      <c r="P63" s="76">
        <f t="shared" si="15"/>
        <v>0</v>
      </c>
      <c r="Q63" s="205">
        <f t="shared" si="10"/>
        <v>0</v>
      </c>
      <c r="R63" s="202">
        <f t="shared" si="16"/>
        <v>0</v>
      </c>
      <c r="S63" s="139">
        <f t="shared" si="17"/>
        <v>0</v>
      </c>
      <c r="T63" s="139">
        <f t="shared" si="11"/>
        <v>0</v>
      </c>
      <c r="U63" s="140">
        <v>0.89600000000000002</v>
      </c>
      <c r="V63" s="140">
        <f t="shared" si="18"/>
        <v>0</v>
      </c>
      <c r="W63" s="140">
        <f t="shared" si="19"/>
        <v>0</v>
      </c>
      <c r="X63" s="140">
        <f t="shared" si="12"/>
        <v>0</v>
      </c>
      <c r="Y63" s="176" t="str">
        <f t="shared" si="13"/>
        <v/>
      </c>
    </row>
    <row r="64" spans="1:30" ht="14.5" thickBot="1" x14ac:dyDescent="0.35">
      <c r="A64" s="94">
        <v>7042157</v>
      </c>
      <c r="B64" s="128" t="s">
        <v>1</v>
      </c>
      <c r="C64" s="107" t="s">
        <v>17</v>
      </c>
      <c r="D64" s="50" t="s">
        <v>39</v>
      </c>
      <c r="E64" s="51" t="s">
        <v>40</v>
      </c>
      <c r="F64" s="102"/>
      <c r="G64" s="39">
        <v>0.58699999999999997</v>
      </c>
      <c r="H64" s="31">
        <v>1</v>
      </c>
      <c r="I64" s="30">
        <v>25</v>
      </c>
      <c r="J64" s="26">
        <f t="shared" si="14"/>
        <v>0</v>
      </c>
      <c r="K64" s="27">
        <f t="shared" si="7"/>
        <v>0</v>
      </c>
      <c r="L64" s="31">
        <v>20</v>
      </c>
      <c r="M64" s="28">
        <v>500</v>
      </c>
      <c r="N64" s="29">
        <f t="shared" si="8"/>
        <v>0</v>
      </c>
      <c r="O64" s="27">
        <f t="shared" si="9"/>
        <v>0</v>
      </c>
      <c r="P64" s="77">
        <f t="shared" si="15"/>
        <v>0</v>
      </c>
      <c r="Q64" s="205">
        <f t="shared" si="10"/>
        <v>0</v>
      </c>
      <c r="R64" s="202">
        <f t="shared" si="16"/>
        <v>0</v>
      </c>
      <c r="S64" s="139">
        <f t="shared" si="17"/>
        <v>0</v>
      </c>
      <c r="T64" s="139">
        <f t="shared" si="11"/>
        <v>0</v>
      </c>
      <c r="U64" s="140">
        <v>1.4</v>
      </c>
      <c r="V64" s="140">
        <f t="shared" si="18"/>
        <v>0</v>
      </c>
      <c r="W64" s="140">
        <f t="shared" si="19"/>
        <v>0</v>
      </c>
      <c r="X64" s="140">
        <f t="shared" si="12"/>
        <v>0</v>
      </c>
      <c r="Y64" s="176" t="str">
        <f t="shared" si="13"/>
        <v/>
      </c>
    </row>
    <row r="65" spans="1:30" x14ac:dyDescent="0.3">
      <c r="A65" s="95" t="s">
        <v>3</v>
      </c>
      <c r="B65" s="126" t="s">
        <v>2</v>
      </c>
      <c r="C65" s="66" t="s">
        <v>12</v>
      </c>
      <c r="D65" s="71" t="s">
        <v>39</v>
      </c>
      <c r="E65" s="72" t="s">
        <v>40</v>
      </c>
      <c r="F65" s="103"/>
      <c r="G65" s="34">
        <v>0.308</v>
      </c>
      <c r="H65" s="7">
        <v>1</v>
      </c>
      <c r="I65" s="8">
        <v>25</v>
      </c>
      <c r="J65" s="9">
        <f t="shared" si="14"/>
        <v>0</v>
      </c>
      <c r="K65" s="10">
        <f>J65*I65</f>
        <v>0</v>
      </c>
      <c r="L65" s="7">
        <v>14</v>
      </c>
      <c r="M65" s="11">
        <v>350</v>
      </c>
      <c r="N65" s="12">
        <f>ROUND(IF(R65&gt;99.99,LEFT(R65,3),IF(R65&gt;9.99,LEFT(R65,2),LEFT(R65,1))),0)</f>
        <v>0</v>
      </c>
      <c r="O65" s="10">
        <f>N65*M65</f>
        <v>0</v>
      </c>
      <c r="P65" s="78">
        <f t="shared" si="15"/>
        <v>0</v>
      </c>
      <c r="Q65" s="204">
        <f>K65+O65</f>
        <v>0</v>
      </c>
      <c r="R65" s="201">
        <f t="shared" si="16"/>
        <v>0</v>
      </c>
      <c r="S65" s="137">
        <f t="shared" si="17"/>
        <v>0</v>
      </c>
      <c r="T65" s="137">
        <f t="shared" si="11"/>
        <v>0</v>
      </c>
      <c r="U65" s="138">
        <v>0.89600000000000002</v>
      </c>
      <c r="V65" s="138">
        <f t="shared" si="18"/>
        <v>0</v>
      </c>
      <c r="W65" s="138">
        <f t="shared" si="19"/>
        <v>0</v>
      </c>
      <c r="X65" s="138">
        <f>SUM(V65:W65)</f>
        <v>0</v>
      </c>
      <c r="Y65" s="176" t="str">
        <f t="shared" si="13"/>
        <v/>
      </c>
      <c r="AA65" s="13"/>
      <c r="AB65" s="14"/>
      <c r="AC65" s="13"/>
      <c r="AD65" s="15"/>
    </row>
    <row r="66" spans="1:30" x14ac:dyDescent="0.3">
      <c r="A66" s="96" t="s">
        <v>4</v>
      </c>
      <c r="B66" s="127" t="s">
        <v>2</v>
      </c>
      <c r="C66" s="67" t="s">
        <v>13</v>
      </c>
      <c r="D66" s="69" t="s">
        <v>39</v>
      </c>
      <c r="E66" s="70" t="s">
        <v>40</v>
      </c>
      <c r="F66" s="104"/>
      <c r="G66" s="35">
        <v>0.39100000000000001</v>
      </c>
      <c r="H66" s="16">
        <v>1</v>
      </c>
      <c r="I66" s="17">
        <v>25</v>
      </c>
      <c r="J66" s="18">
        <f t="shared" si="14"/>
        <v>0</v>
      </c>
      <c r="K66" s="19">
        <f>J66*I66</f>
        <v>0</v>
      </c>
      <c r="L66" s="16">
        <v>12</v>
      </c>
      <c r="M66" s="20">
        <v>300</v>
      </c>
      <c r="N66" s="21">
        <f>ROUND(IF(R66&gt;99.99,LEFT(R66,3),IF(R66&gt;9.99,LEFT(R66,2),LEFT(R66,1))),0)</f>
        <v>0</v>
      </c>
      <c r="O66" s="19">
        <f>N66*M66</f>
        <v>0</v>
      </c>
      <c r="P66" s="76">
        <f t="shared" si="15"/>
        <v>0</v>
      </c>
      <c r="Q66" s="205">
        <f>K66+O66</f>
        <v>0</v>
      </c>
      <c r="R66" s="202">
        <f t="shared" si="16"/>
        <v>0</v>
      </c>
      <c r="S66" s="139">
        <f t="shared" si="17"/>
        <v>0</v>
      </c>
      <c r="T66" s="139">
        <f t="shared" si="11"/>
        <v>0</v>
      </c>
      <c r="U66" s="140">
        <v>0.89600000000000002</v>
      </c>
      <c r="V66" s="140">
        <f t="shared" si="18"/>
        <v>0</v>
      </c>
      <c r="W66" s="140">
        <f t="shared" si="19"/>
        <v>0</v>
      </c>
      <c r="X66" s="140">
        <f>SUM(V66:W66)</f>
        <v>0</v>
      </c>
      <c r="Y66" s="176" t="str">
        <f t="shared" si="13"/>
        <v/>
      </c>
      <c r="AA66" s="13"/>
      <c r="AB66" s="14"/>
      <c r="AC66" s="13"/>
      <c r="AD66" s="15"/>
    </row>
    <row r="67" spans="1:30" x14ac:dyDescent="0.3">
      <c r="A67" s="96" t="s">
        <v>5</v>
      </c>
      <c r="B67" s="127" t="s">
        <v>2</v>
      </c>
      <c r="C67" s="67" t="s">
        <v>15</v>
      </c>
      <c r="D67" s="69" t="s">
        <v>39</v>
      </c>
      <c r="E67" s="70" t="s">
        <v>40</v>
      </c>
      <c r="F67" s="104"/>
      <c r="G67" s="35">
        <v>0.47499999999999998</v>
      </c>
      <c r="H67" s="16">
        <v>1</v>
      </c>
      <c r="I67" s="17">
        <v>25</v>
      </c>
      <c r="J67" s="18">
        <f t="shared" si="14"/>
        <v>0</v>
      </c>
      <c r="K67" s="19">
        <f>J67*I67</f>
        <v>0</v>
      </c>
      <c r="L67" s="16">
        <v>12</v>
      </c>
      <c r="M67" s="20">
        <v>300</v>
      </c>
      <c r="N67" s="21">
        <f>ROUND(IF(R67&gt;99.99,LEFT(R67,3),IF(R67&gt;9.99,LEFT(R67,2),LEFT(R67,1))),0)</f>
        <v>0</v>
      </c>
      <c r="O67" s="19">
        <f>N67*M67</f>
        <v>0</v>
      </c>
      <c r="P67" s="76">
        <f t="shared" si="15"/>
        <v>0</v>
      </c>
      <c r="Q67" s="205">
        <f>K67+O67</f>
        <v>0</v>
      </c>
      <c r="R67" s="202">
        <f t="shared" si="16"/>
        <v>0</v>
      </c>
      <c r="S67" s="139">
        <f t="shared" si="17"/>
        <v>0</v>
      </c>
      <c r="T67" s="139">
        <f t="shared" si="11"/>
        <v>0</v>
      </c>
      <c r="U67" s="140">
        <v>0.89600000000000002</v>
      </c>
      <c r="V67" s="140">
        <f t="shared" si="18"/>
        <v>0</v>
      </c>
      <c r="W67" s="140">
        <f t="shared" si="19"/>
        <v>0</v>
      </c>
      <c r="X67" s="140">
        <f>SUM(V67:W67)</f>
        <v>0</v>
      </c>
      <c r="Y67" s="176" t="str">
        <f t="shared" si="13"/>
        <v/>
      </c>
      <c r="AA67" s="13"/>
      <c r="AB67" s="14"/>
      <c r="AC67" s="13"/>
      <c r="AD67" s="15"/>
    </row>
    <row r="68" spans="1:30" ht="14.5" thickBot="1" x14ac:dyDescent="0.35">
      <c r="A68" s="97" t="s">
        <v>6</v>
      </c>
      <c r="B68" s="128" t="s">
        <v>2</v>
      </c>
      <c r="C68" s="108" t="s">
        <v>17</v>
      </c>
      <c r="D68" s="73" t="s">
        <v>39</v>
      </c>
      <c r="E68" s="74" t="s">
        <v>40</v>
      </c>
      <c r="F68" s="105"/>
      <c r="G68" s="33">
        <v>0.58699999999999997</v>
      </c>
      <c r="H68" s="31">
        <v>1</v>
      </c>
      <c r="I68" s="30">
        <v>25</v>
      </c>
      <c r="J68" s="26">
        <f t="shared" si="14"/>
        <v>0</v>
      </c>
      <c r="K68" s="27">
        <f>J68*I68</f>
        <v>0</v>
      </c>
      <c r="L68" s="31">
        <v>11</v>
      </c>
      <c r="M68" s="30">
        <v>275</v>
      </c>
      <c r="N68" s="29">
        <f>ROUND(IF(R68&gt;99.99,LEFT(R68,3),IF(R68&gt;9.99,LEFT(R68,2),LEFT(R68,1))),0)</f>
        <v>0</v>
      </c>
      <c r="O68" s="27">
        <f>N68*M68</f>
        <v>0</v>
      </c>
      <c r="P68" s="77">
        <f t="shared" si="15"/>
        <v>0</v>
      </c>
      <c r="Q68" s="205">
        <f>K68+O68</f>
        <v>0</v>
      </c>
      <c r="R68" s="202">
        <f t="shared" si="16"/>
        <v>0</v>
      </c>
      <c r="S68" s="139">
        <f t="shared" si="17"/>
        <v>0</v>
      </c>
      <c r="T68" s="139">
        <f t="shared" si="11"/>
        <v>0</v>
      </c>
      <c r="U68" s="140">
        <v>1.4</v>
      </c>
      <c r="V68" s="140">
        <f t="shared" si="18"/>
        <v>0</v>
      </c>
      <c r="W68" s="140">
        <f t="shared" si="19"/>
        <v>0</v>
      </c>
      <c r="X68" s="140">
        <f>SUM(V68:W68)</f>
        <v>0</v>
      </c>
      <c r="Y68" s="176" t="str">
        <f t="shared" si="13"/>
        <v/>
      </c>
      <c r="AA68" s="13"/>
      <c r="AB68" s="14"/>
      <c r="AC68" s="13"/>
      <c r="AD68" s="15"/>
    </row>
    <row r="69" spans="1:30" x14ac:dyDescent="0.3">
      <c r="A69" s="89">
        <v>7067379</v>
      </c>
      <c r="B69" s="126" t="s">
        <v>42</v>
      </c>
      <c r="C69" s="68" t="s">
        <v>43</v>
      </c>
      <c r="D69" s="46" t="s">
        <v>39</v>
      </c>
      <c r="E69" s="47" t="s">
        <v>40</v>
      </c>
      <c r="F69" s="100"/>
      <c r="G69" s="37">
        <v>0.221</v>
      </c>
      <c r="H69" s="7">
        <v>1</v>
      </c>
      <c r="I69" s="8">
        <v>50</v>
      </c>
      <c r="J69" s="9">
        <f t="shared" ref="J69:J74" si="25">ROUND((R69-N69)*M69/I69,0)</f>
        <v>0</v>
      </c>
      <c r="K69" s="10">
        <f t="shared" ref="K69:K74" si="26">J69*I69</f>
        <v>0</v>
      </c>
      <c r="L69" s="7">
        <v>15</v>
      </c>
      <c r="M69" s="11">
        <v>750</v>
      </c>
      <c r="N69" s="12">
        <f t="shared" ref="N69:N74" si="27">ROUND(IF(R69&gt;99.99,LEFT(R69,3),IF(R69&gt;9.99,LEFT(R69,2),LEFT(R69,1))),0)</f>
        <v>0</v>
      </c>
      <c r="O69" s="10">
        <f t="shared" ref="O69:O74" si="28">N69*M69</f>
        <v>0</v>
      </c>
      <c r="P69" s="78">
        <f t="shared" ref="P69:P74" si="29">G69*Q69</f>
        <v>0</v>
      </c>
      <c r="Q69" s="204">
        <f t="shared" ref="Q69:Q74" si="30">K69+O69</f>
        <v>0</v>
      </c>
      <c r="R69" s="201">
        <f t="shared" ref="R69:R74" si="31">ROUND(F69/M69,3)</f>
        <v>0</v>
      </c>
      <c r="S69" s="137">
        <f t="shared" ref="S69:S74" si="32">K69/M69</f>
        <v>0</v>
      </c>
      <c r="T69" s="137">
        <f t="shared" si="11"/>
        <v>0</v>
      </c>
      <c r="U69" s="138">
        <v>0.89600000000000002</v>
      </c>
      <c r="V69" s="138">
        <f t="shared" ref="V69:V74" si="33">S69*U69</f>
        <v>0</v>
      </c>
      <c r="W69" s="138">
        <f t="shared" ref="W69:W74" si="34">N69*U69</f>
        <v>0</v>
      </c>
      <c r="X69" s="138">
        <f t="shared" ref="X69:X74" si="35">SUM(V69:W69)</f>
        <v>0</v>
      </c>
      <c r="Y69" s="176" t="str">
        <f t="shared" si="13"/>
        <v/>
      </c>
    </row>
    <row r="70" spans="1:30" ht="14.5" thickBot="1" x14ac:dyDescent="0.35">
      <c r="A70" s="98">
        <v>7067380</v>
      </c>
      <c r="B70" s="129" t="s">
        <v>42</v>
      </c>
      <c r="C70" s="84" t="s">
        <v>44</v>
      </c>
      <c r="D70" s="52" t="s">
        <v>39</v>
      </c>
      <c r="E70" s="53" t="s">
        <v>40</v>
      </c>
      <c r="F70" s="106"/>
      <c r="G70" s="79">
        <v>0.29499999999999998</v>
      </c>
      <c r="H70" s="54">
        <v>1</v>
      </c>
      <c r="I70" s="42">
        <v>50</v>
      </c>
      <c r="J70" s="43">
        <f t="shared" si="25"/>
        <v>0</v>
      </c>
      <c r="K70" s="55">
        <f t="shared" si="26"/>
        <v>0</v>
      </c>
      <c r="L70" s="54">
        <v>15</v>
      </c>
      <c r="M70" s="44">
        <v>750</v>
      </c>
      <c r="N70" s="45">
        <f t="shared" si="27"/>
        <v>0</v>
      </c>
      <c r="O70" s="55">
        <f t="shared" si="28"/>
        <v>0</v>
      </c>
      <c r="P70" s="80">
        <f t="shared" si="29"/>
        <v>0</v>
      </c>
      <c r="Q70" s="205">
        <f t="shared" si="30"/>
        <v>0</v>
      </c>
      <c r="R70" s="202">
        <f t="shared" si="31"/>
        <v>0</v>
      </c>
      <c r="S70" s="139">
        <f t="shared" si="32"/>
        <v>0</v>
      </c>
      <c r="T70" s="139">
        <f t="shared" ref="T70:T74" si="36">IF((S70)&gt;0,1,0)</f>
        <v>0</v>
      </c>
      <c r="U70" s="140">
        <v>0.89600000000000002</v>
      </c>
      <c r="V70" s="140">
        <f t="shared" si="33"/>
        <v>0</v>
      </c>
      <c r="W70" s="140">
        <f t="shared" si="34"/>
        <v>0</v>
      </c>
      <c r="X70" s="140">
        <f t="shared" si="35"/>
        <v>0</v>
      </c>
      <c r="Y70" s="176" t="str">
        <f t="shared" si="13"/>
        <v/>
      </c>
    </row>
    <row r="71" spans="1:30" x14ac:dyDescent="0.3">
      <c r="A71" s="89">
        <v>7132475</v>
      </c>
      <c r="B71" s="130" t="s">
        <v>45</v>
      </c>
      <c r="C71" s="66" t="s">
        <v>46</v>
      </c>
      <c r="D71" s="46" t="s">
        <v>39</v>
      </c>
      <c r="E71" s="47" t="s">
        <v>40</v>
      </c>
      <c r="F71" s="100"/>
      <c r="G71" s="37">
        <v>8.5999999999999993E-2</v>
      </c>
      <c r="H71" s="7">
        <v>1</v>
      </c>
      <c r="I71" s="8">
        <v>100</v>
      </c>
      <c r="J71" s="9">
        <f t="shared" si="25"/>
        <v>0</v>
      </c>
      <c r="K71" s="10">
        <f t="shared" si="26"/>
        <v>0</v>
      </c>
      <c r="L71" s="7">
        <v>10</v>
      </c>
      <c r="M71" s="11">
        <v>1000</v>
      </c>
      <c r="N71" s="12">
        <f t="shared" si="27"/>
        <v>0</v>
      </c>
      <c r="O71" s="10">
        <f t="shared" si="28"/>
        <v>0</v>
      </c>
      <c r="P71" s="78">
        <f t="shared" si="29"/>
        <v>0</v>
      </c>
      <c r="Q71" s="204">
        <f t="shared" si="30"/>
        <v>0</v>
      </c>
      <c r="R71" s="201">
        <f t="shared" si="31"/>
        <v>0</v>
      </c>
      <c r="S71" s="137">
        <f t="shared" si="32"/>
        <v>0</v>
      </c>
      <c r="T71" s="137">
        <f t="shared" si="36"/>
        <v>0</v>
      </c>
      <c r="U71" s="138">
        <v>0.89600000000000002</v>
      </c>
      <c r="V71" s="138">
        <f t="shared" si="33"/>
        <v>0</v>
      </c>
      <c r="W71" s="138">
        <f t="shared" si="34"/>
        <v>0</v>
      </c>
      <c r="X71" s="138">
        <f t="shared" si="35"/>
        <v>0</v>
      </c>
      <c r="Y71" s="176" t="str">
        <f t="shared" si="13"/>
        <v/>
      </c>
    </row>
    <row r="72" spans="1:30" x14ac:dyDescent="0.3">
      <c r="A72" s="90">
        <v>7132476</v>
      </c>
      <c r="B72" s="131" t="s">
        <v>45</v>
      </c>
      <c r="C72" s="67" t="s">
        <v>47</v>
      </c>
      <c r="D72" s="48" t="s">
        <v>39</v>
      </c>
      <c r="E72" s="49" t="s">
        <v>40</v>
      </c>
      <c r="F72" s="101"/>
      <c r="G72" s="38">
        <v>0.121</v>
      </c>
      <c r="H72" s="16">
        <v>1</v>
      </c>
      <c r="I72" s="17">
        <v>100</v>
      </c>
      <c r="J72" s="18">
        <f t="shared" si="25"/>
        <v>0</v>
      </c>
      <c r="K72" s="19">
        <f t="shared" si="26"/>
        <v>0</v>
      </c>
      <c r="L72" s="16">
        <v>10</v>
      </c>
      <c r="M72" s="20">
        <v>1000</v>
      </c>
      <c r="N72" s="21">
        <f t="shared" si="27"/>
        <v>0</v>
      </c>
      <c r="O72" s="19">
        <f t="shared" si="28"/>
        <v>0</v>
      </c>
      <c r="P72" s="76">
        <f t="shared" si="29"/>
        <v>0</v>
      </c>
      <c r="Q72" s="205">
        <f t="shared" si="30"/>
        <v>0</v>
      </c>
      <c r="R72" s="202">
        <f t="shared" si="31"/>
        <v>0</v>
      </c>
      <c r="S72" s="139">
        <f t="shared" si="32"/>
        <v>0</v>
      </c>
      <c r="T72" s="139">
        <f t="shared" si="36"/>
        <v>0</v>
      </c>
      <c r="U72" s="140">
        <v>0.89600000000000002</v>
      </c>
      <c r="V72" s="140">
        <f t="shared" si="33"/>
        <v>0</v>
      </c>
      <c r="W72" s="140">
        <f t="shared" si="34"/>
        <v>0</v>
      </c>
      <c r="X72" s="140">
        <f t="shared" si="35"/>
        <v>0</v>
      </c>
      <c r="Y72" s="176" t="str">
        <f t="shared" si="13"/>
        <v/>
      </c>
    </row>
    <row r="73" spans="1:30" x14ac:dyDescent="0.3">
      <c r="A73" s="90">
        <v>7132478</v>
      </c>
      <c r="B73" s="131" t="s">
        <v>45</v>
      </c>
      <c r="C73" s="109" t="s">
        <v>48</v>
      </c>
      <c r="D73" s="48" t="s">
        <v>39</v>
      </c>
      <c r="E73" s="49" t="s">
        <v>40</v>
      </c>
      <c r="F73" s="101"/>
      <c r="G73" s="38">
        <v>0.23100000000000001</v>
      </c>
      <c r="H73" s="16">
        <v>1</v>
      </c>
      <c r="I73" s="17">
        <v>50</v>
      </c>
      <c r="J73" s="18">
        <f t="shared" si="25"/>
        <v>0</v>
      </c>
      <c r="K73" s="19">
        <f t="shared" si="26"/>
        <v>0</v>
      </c>
      <c r="L73" s="16">
        <v>15</v>
      </c>
      <c r="M73" s="20">
        <v>750</v>
      </c>
      <c r="N73" s="21">
        <f t="shared" si="27"/>
        <v>0</v>
      </c>
      <c r="O73" s="19">
        <f t="shared" si="28"/>
        <v>0</v>
      </c>
      <c r="P73" s="76">
        <f t="shared" si="29"/>
        <v>0</v>
      </c>
      <c r="Q73" s="205">
        <f t="shared" si="30"/>
        <v>0</v>
      </c>
      <c r="R73" s="202">
        <f t="shared" si="31"/>
        <v>0</v>
      </c>
      <c r="S73" s="139">
        <f t="shared" si="32"/>
        <v>0</v>
      </c>
      <c r="T73" s="139">
        <f t="shared" si="36"/>
        <v>0</v>
      </c>
      <c r="U73" s="140">
        <v>1.4</v>
      </c>
      <c r="V73" s="140">
        <f t="shared" si="33"/>
        <v>0</v>
      </c>
      <c r="W73" s="140">
        <f t="shared" si="34"/>
        <v>0</v>
      </c>
      <c r="X73" s="140">
        <f t="shared" si="35"/>
        <v>0</v>
      </c>
      <c r="Y73" s="176" t="str">
        <f t="shared" si="13"/>
        <v/>
      </c>
    </row>
    <row r="74" spans="1:30" ht="14.5" thickBot="1" x14ac:dyDescent="0.35">
      <c r="A74" s="94">
        <v>7132479</v>
      </c>
      <c r="B74" s="132" t="s">
        <v>45</v>
      </c>
      <c r="C74" s="110" t="s">
        <v>49</v>
      </c>
      <c r="D74" s="50" t="s">
        <v>39</v>
      </c>
      <c r="E74" s="51" t="s">
        <v>40</v>
      </c>
      <c r="F74" s="102"/>
      <c r="G74" s="39">
        <v>0.45100000000000001</v>
      </c>
      <c r="H74" s="31">
        <v>1</v>
      </c>
      <c r="I74" s="30">
        <v>50</v>
      </c>
      <c r="J74" s="26">
        <f t="shared" si="25"/>
        <v>0</v>
      </c>
      <c r="K74" s="27">
        <f t="shared" si="26"/>
        <v>0</v>
      </c>
      <c r="L74" s="31">
        <v>8</v>
      </c>
      <c r="M74" s="28">
        <v>400</v>
      </c>
      <c r="N74" s="29">
        <f t="shared" si="27"/>
        <v>0</v>
      </c>
      <c r="O74" s="27">
        <f t="shared" si="28"/>
        <v>0</v>
      </c>
      <c r="P74" s="77">
        <f t="shared" si="29"/>
        <v>0</v>
      </c>
      <c r="Q74" s="206">
        <f t="shared" si="30"/>
        <v>0</v>
      </c>
      <c r="R74" s="203">
        <f t="shared" si="31"/>
        <v>0</v>
      </c>
      <c r="S74" s="141">
        <f t="shared" si="32"/>
        <v>0</v>
      </c>
      <c r="T74" s="141">
        <f t="shared" si="36"/>
        <v>0</v>
      </c>
      <c r="U74" s="142">
        <v>1.4</v>
      </c>
      <c r="V74" s="142">
        <f t="shared" si="33"/>
        <v>0</v>
      </c>
      <c r="W74" s="142">
        <f t="shared" si="34"/>
        <v>0</v>
      </c>
      <c r="X74" s="142">
        <f t="shared" si="35"/>
        <v>0</v>
      </c>
      <c r="Y74" s="176" t="str">
        <f t="shared" ref="Y74" si="37">IF(Q74&lt;F74,"Количество меньше вводимого!","")</f>
        <v/>
      </c>
    </row>
    <row r="75" spans="1:30" ht="14.5" thickBot="1" x14ac:dyDescent="0.35">
      <c r="A75" s="159" t="s">
        <v>54</v>
      </c>
      <c r="B75" s="160" t="s">
        <v>55</v>
      </c>
      <c r="C75" s="81"/>
      <c r="D75" s="81"/>
      <c r="E75" s="81"/>
      <c r="F75" s="81">
        <v>0</v>
      </c>
      <c r="G75" s="81"/>
      <c r="H75" s="81"/>
      <c r="I75" s="81"/>
      <c r="J75" s="81"/>
      <c r="K75" s="81"/>
      <c r="L75" s="81"/>
      <c r="M75" s="82"/>
      <c r="N75" s="81"/>
      <c r="O75" s="81"/>
      <c r="P75" s="83">
        <f>SUM(P5:P74)</f>
        <v>0</v>
      </c>
      <c r="Q75" s="81"/>
      <c r="R75" s="81"/>
      <c r="S75" s="81"/>
      <c r="T75" s="81"/>
      <c r="U75" s="81"/>
      <c r="V75" s="81"/>
      <c r="W75" s="81"/>
      <c r="X75" s="81"/>
    </row>
    <row r="76" spans="1:30" x14ac:dyDescent="0.3">
      <c r="A76" s="3"/>
      <c r="B76" s="3"/>
      <c r="C76" s="3"/>
      <c r="D76" s="3"/>
      <c r="E76" s="3"/>
      <c r="F76" s="36">
        <v>0</v>
      </c>
      <c r="G76" s="22"/>
      <c r="H76" s="118" t="s">
        <v>56</v>
      </c>
      <c r="I76" s="3"/>
      <c r="J76" s="3"/>
      <c r="K76" s="115" t="s">
        <v>75</v>
      </c>
      <c r="L76" s="3"/>
      <c r="M76" s="115" t="s">
        <v>81</v>
      </c>
      <c r="O76" s="36"/>
      <c r="P76" s="36"/>
      <c r="Q76" s="36"/>
    </row>
    <row r="77" spans="1:30" x14ac:dyDescent="0.3">
      <c r="A77" s="85" t="s">
        <v>54</v>
      </c>
      <c r="B77" s="86" t="s">
        <v>55</v>
      </c>
      <c r="C77" s="86"/>
      <c r="D77" s="87"/>
      <c r="E77" s="87"/>
      <c r="F77" s="36">
        <v>0</v>
      </c>
      <c r="G77" s="22"/>
      <c r="H77" s="115" t="s">
        <v>58</v>
      </c>
      <c r="I77" s="115" t="s">
        <v>78</v>
      </c>
      <c r="J77" s="3"/>
      <c r="K77" s="115" t="s">
        <v>74</v>
      </c>
      <c r="L77" s="3"/>
      <c r="M77" s="115" t="s">
        <v>80</v>
      </c>
      <c r="O77" s="111" t="s">
        <v>76</v>
      </c>
      <c r="P77" s="88" t="s">
        <v>77</v>
      </c>
      <c r="R77" s="121"/>
    </row>
    <row r="78" spans="1:30" x14ac:dyDescent="0.3">
      <c r="A78" s="85" t="s">
        <v>60</v>
      </c>
      <c r="B78" s="86" t="s">
        <v>57</v>
      </c>
      <c r="C78" s="86" t="s">
        <v>71</v>
      </c>
      <c r="D78" s="87"/>
      <c r="E78" s="87"/>
      <c r="F78" s="36">
        <v>0</v>
      </c>
      <c r="G78" s="3"/>
      <c r="H78" s="134">
        <f>ROUNDUP(SUM(S5:S25)+SUM(S33:S45)+SUM(S50:S57),0)</f>
        <v>0</v>
      </c>
      <c r="I78" s="134">
        <f>IF((H78)=(T78),0,ROUND(SUM(T5:T25)+SUM(T33:T45)+SUM(T50:T57),0))</f>
        <v>0</v>
      </c>
      <c r="J78" s="3"/>
      <c r="K78" s="116">
        <f>SUM(N5:N25)+SUM(N33:N45)+SUM(N50:N57)</f>
        <v>0</v>
      </c>
      <c r="L78" s="135" t="str">
        <f>IF((H78+K78)&gt;36,"&gt;36!","")</f>
        <v/>
      </c>
      <c r="M78" s="85">
        <f>CEILING(CEILING(H78+K78,18)/18,1)</f>
        <v>0</v>
      </c>
      <c r="N78" s="133" t="str">
        <f>IF((O78)&gt;0,"x 5,0m","")</f>
        <v/>
      </c>
      <c r="O78" s="114">
        <f>IF((H78+K78)=0,0,M78*5.1)</f>
        <v>0</v>
      </c>
      <c r="P78" s="125">
        <f>SUM(X5:X25)+SUM(X33:X45)+SUM(X50:X57)</f>
        <v>0</v>
      </c>
      <c r="R78" s="121"/>
      <c r="S78" s="121"/>
      <c r="T78" s="134">
        <f>ROUNDUP(SUM(T5:T25)+SUM(T33:T45)+SUM(T50:T57),0)</f>
        <v>0</v>
      </c>
      <c r="U78" s="121"/>
      <c r="V78" s="121"/>
      <c r="W78" s="120"/>
    </row>
    <row r="79" spans="1:30" x14ac:dyDescent="0.3">
      <c r="A79" s="85" t="s">
        <v>60</v>
      </c>
      <c r="B79" s="86" t="s">
        <v>57</v>
      </c>
      <c r="C79" s="136" t="s">
        <v>70</v>
      </c>
      <c r="D79" s="87"/>
      <c r="E79" s="87"/>
      <c r="F79" s="36">
        <v>0</v>
      </c>
      <c r="G79" s="3"/>
      <c r="H79" s="134">
        <f>ROUNDUP(SUM(S46:S49),0)</f>
        <v>0</v>
      </c>
      <c r="I79" s="134">
        <f>IF((H79)=(T79),0,ROUNDUP(SUM(T46:T49),0))</f>
        <v>0</v>
      </c>
      <c r="J79" s="115"/>
      <c r="K79" s="116">
        <f>SUM(N46:N49)</f>
        <v>0</v>
      </c>
      <c r="L79" s="135"/>
      <c r="M79" s="85">
        <f>CEILING(CEILING(H79+K79,16)/16,1)</f>
        <v>0</v>
      </c>
      <c r="N79" s="133" t="str">
        <f>IF((O79)&gt;0,"x 2,5m","")</f>
        <v/>
      </c>
      <c r="O79" s="114">
        <f>IF((H78+K78)=0,CEILING(CEILING(H79+K79,16)/16,1)*2.55,IF(R79&gt;(H79+K79),0,(CEILING(CEILING(H79+K79,16)/16,1))*2.55))</f>
        <v>0</v>
      </c>
      <c r="P79" s="125">
        <f>SUM(X46:X49)</f>
        <v>0</v>
      </c>
      <c r="R79" s="122">
        <f>(IF(H78+K78&gt;=18,IF(H78+K78&gt;=36,0,36-H78-K78),18-H78-K78))*2</f>
        <v>36</v>
      </c>
      <c r="S79" s="122"/>
      <c r="T79" s="134">
        <f>ROUNDUP(SUM(T46:T49),0)</f>
        <v>0</v>
      </c>
      <c r="U79" s="123"/>
      <c r="V79" s="122"/>
      <c r="W79" s="123"/>
    </row>
    <row r="80" spans="1:30" x14ac:dyDescent="0.3">
      <c r="A80" s="85" t="s">
        <v>61</v>
      </c>
      <c r="B80" s="86" t="s">
        <v>59</v>
      </c>
      <c r="C80" s="86" t="s">
        <v>72</v>
      </c>
      <c r="D80" s="87"/>
      <c r="E80" s="87"/>
      <c r="F80" s="36">
        <v>0</v>
      </c>
      <c r="G80" s="3"/>
      <c r="H80" s="134">
        <f>ROUNDUP(SUM(S26:S32)+SUM(S58:S68)+SUM(S69:S74)-S32-S64-S68-S73-S74,0)</f>
        <v>0</v>
      </c>
      <c r="I80" s="134">
        <f>IF(H80=T80,0,ROUNDUP(SUM(T26:T32)+SUM(T58:T68)+SUM(T69:T74)-T32-T64-T68-T73-T74,0))</f>
        <v>0</v>
      </c>
      <c r="J80" s="115"/>
      <c r="K80" s="116">
        <f>SUM(N26:N32)+SUM(N58:N68)+SUM(N69:N74)-N32-N64-N68-N73-N74</f>
        <v>0</v>
      </c>
      <c r="L80" s="135" t="str">
        <f>IF((H80+K80)&gt;48,"&gt;48!","")</f>
        <v/>
      </c>
      <c r="M80" s="86">
        <f>ROUNDUP((H80+K80)/3,0)</f>
        <v>0</v>
      </c>
      <c r="N80" s="133" t="str">
        <f>IF((O80)&gt;0,"x 0,8m","")</f>
        <v/>
      </c>
      <c r="O80" s="114">
        <f>IF((H81+K81)=0,M80*0.8,0.8*W80)</f>
        <v>0</v>
      </c>
      <c r="P80" s="125">
        <f>SUM(X26:X32)+SUM(X58:X68)+SUM(X69:X74)-X32-X64-X68-X73-X74</f>
        <v>0</v>
      </c>
      <c r="R80" s="119">
        <f>(H80+K80)/3</f>
        <v>0</v>
      </c>
      <c r="S80" s="124">
        <f>ROUND(MOD(R80,1),2)</f>
        <v>0</v>
      </c>
      <c r="T80" s="134">
        <f>ROUNDUP(SUM(T26:T32)+SUM(T58:T68)+SUM(T69:T74)-T32-T64-T68-T73-T74,0)</f>
        <v>0</v>
      </c>
      <c r="U80" s="124">
        <f>INT(R80)</f>
        <v>0</v>
      </c>
      <c r="V80" s="119">
        <f>ROUND(MOD(R80,1),0)</f>
        <v>0</v>
      </c>
      <c r="W80" s="123">
        <f>U80+V80</f>
        <v>0</v>
      </c>
      <c r="X80" s="121"/>
    </row>
    <row r="81" spans="1:23" x14ac:dyDescent="0.3">
      <c r="A81" s="85" t="s">
        <v>61</v>
      </c>
      <c r="B81" s="86" t="s">
        <v>59</v>
      </c>
      <c r="C81" s="113" t="s">
        <v>73</v>
      </c>
      <c r="D81" s="87"/>
      <c r="E81" s="87"/>
      <c r="F81" s="36">
        <v>0</v>
      </c>
      <c r="G81" s="3"/>
      <c r="H81" s="134">
        <f>ROUNDUP(S32+S64+S68+S73+S74,0)</f>
        <v>0</v>
      </c>
      <c r="I81" s="134">
        <f>IF(H81=T81,0,ROUNDUP(T32+T64+T68+T73+T74,0))</f>
        <v>0</v>
      </c>
      <c r="J81" s="115"/>
      <c r="K81" s="116">
        <f>N32+N64+N68+N73+N74</f>
        <v>0</v>
      </c>
      <c r="L81" s="135" t="str">
        <f>IF((H81+K81)&gt;26,"&gt;26!","")</f>
        <v/>
      </c>
      <c r="M81" s="86">
        <f>IF((H81+K81)=0,0,IF(AND(S80=0.33,S81=0),ROUNDUP((H81+K81)/2,0)+1,ROUNDUP((H81+K81)/2,0)))</f>
        <v>0</v>
      </c>
      <c r="N81" s="133" t="str">
        <f>IF((O81)&gt;0,"x 1,0m","")</f>
        <v/>
      </c>
      <c r="O81" s="114">
        <f>M81*1</f>
        <v>0</v>
      </c>
      <c r="P81" s="125">
        <f>X32+X64+X68+X73+X74</f>
        <v>0</v>
      </c>
      <c r="R81" s="119">
        <f>(H81+K81)/2</f>
        <v>0</v>
      </c>
      <c r="S81" s="124">
        <f>ROUND(MOD(R81,1),2)</f>
        <v>0</v>
      </c>
      <c r="T81" s="134">
        <f>ROUNDUP(T32+T64+T68+T73+T74,0)</f>
        <v>0</v>
      </c>
      <c r="U81" s="124">
        <f>INT(R81)</f>
        <v>0</v>
      </c>
      <c r="V81" s="119">
        <f>ROUND(MOD(R81,1),0)</f>
        <v>0</v>
      </c>
      <c r="W81" s="123">
        <f>U81+V81</f>
        <v>0</v>
      </c>
    </row>
    <row r="82" spans="1:23" x14ac:dyDescent="0.3">
      <c r="A82" s="152" t="s">
        <v>64</v>
      </c>
      <c r="B82" s="152"/>
      <c r="C82" s="152"/>
      <c r="D82" s="153"/>
      <c r="E82" s="153"/>
      <c r="F82" s="153">
        <v>0</v>
      </c>
      <c r="G82" s="157" t="s">
        <v>79</v>
      </c>
      <c r="H82" s="154"/>
      <c r="I82" s="154"/>
      <c r="J82" s="155"/>
      <c r="K82" s="154"/>
      <c r="L82" s="155"/>
      <c r="M82" s="155"/>
      <c r="N82" s="116"/>
      <c r="O82" s="117">
        <f>SUM(O78:O81)</f>
        <v>0</v>
      </c>
      <c r="P82" s="112">
        <f>SUM(P78:P80)</f>
        <v>0</v>
      </c>
      <c r="W82" s="121"/>
    </row>
    <row r="83" spans="1:23" x14ac:dyDescent="0.3">
      <c r="A83" s="152" t="s">
        <v>65</v>
      </c>
      <c r="B83" s="152"/>
      <c r="C83" s="152"/>
      <c r="D83" s="152"/>
      <c r="E83" s="152"/>
      <c r="F83" s="153">
        <v>0</v>
      </c>
      <c r="G83" s="157" t="s">
        <v>62</v>
      </c>
      <c r="H83" s="152"/>
      <c r="I83" s="152"/>
      <c r="J83" s="152"/>
      <c r="K83" s="152"/>
      <c r="L83" s="152"/>
      <c r="M83" s="156"/>
      <c r="N83" s="41"/>
      <c r="O83" s="161" t="str">
        <f>IF(O82&gt;=13,"Проверьте загрузку по длине фуры!","")</f>
        <v/>
      </c>
      <c r="P83" s="3"/>
    </row>
    <row r="84" spans="1:23" x14ac:dyDescent="0.3">
      <c r="B84" s="152"/>
      <c r="C84" s="152"/>
      <c r="D84" s="152"/>
      <c r="E84" s="152"/>
      <c r="F84" s="153">
        <v>0</v>
      </c>
      <c r="H84" s="157"/>
      <c r="I84" s="152"/>
      <c r="J84" s="157"/>
      <c r="K84" s="152"/>
      <c r="L84" s="152"/>
      <c r="M84" s="158"/>
      <c r="N84" s="3"/>
      <c r="P84" s="3"/>
    </row>
    <row r="85" spans="1:23" x14ac:dyDescent="0.3">
      <c r="B85" s="3"/>
      <c r="C85" s="3"/>
      <c r="D85" s="3"/>
      <c r="E85" s="3"/>
      <c r="F85" s="36">
        <v>0</v>
      </c>
      <c r="M85"/>
    </row>
    <row r="86" spans="1:23" x14ac:dyDescent="0.3">
      <c r="A86" s="40"/>
      <c r="B86" s="3"/>
      <c r="C86" s="3"/>
      <c r="D86" s="3"/>
      <c r="E86" s="3"/>
      <c r="F86" s="36">
        <v>0</v>
      </c>
      <c r="I86" s="118"/>
      <c r="M86"/>
    </row>
    <row r="87" spans="1:23" x14ac:dyDescent="0.3">
      <c r="F87" s="36">
        <v>0</v>
      </c>
      <c r="M87"/>
    </row>
    <row r="88" spans="1:23" x14ac:dyDescent="0.3">
      <c r="A88" s="40"/>
      <c r="F88" s="36">
        <v>0</v>
      </c>
      <c r="M88"/>
    </row>
    <row r="89" spans="1:23" x14ac:dyDescent="0.3">
      <c r="F89" s="36">
        <v>0</v>
      </c>
      <c r="J89" s="2"/>
      <c r="M89"/>
    </row>
    <row r="90" spans="1:23" x14ac:dyDescent="0.3">
      <c r="M90"/>
    </row>
    <row r="91" spans="1:23" x14ac:dyDescent="0.3">
      <c r="M91"/>
    </row>
    <row r="92" spans="1:23" x14ac:dyDescent="0.3">
      <c r="M92"/>
    </row>
    <row r="93" spans="1:23" x14ac:dyDescent="0.3">
      <c r="M93"/>
    </row>
    <row r="94" spans="1:23" x14ac:dyDescent="0.3">
      <c r="M94"/>
    </row>
    <row r="95" spans="1:23" x14ac:dyDescent="0.3">
      <c r="M95"/>
    </row>
    <row r="96" spans="1:23" x14ac:dyDescent="0.3">
      <c r="M96"/>
    </row>
    <row r="97" spans="13:13" x14ac:dyDescent="0.3">
      <c r="M97"/>
    </row>
    <row r="98" spans="13:13" x14ac:dyDescent="0.3">
      <c r="M98"/>
    </row>
    <row r="99" spans="13:13" x14ac:dyDescent="0.3">
      <c r="M99"/>
    </row>
    <row r="100" spans="13:13" x14ac:dyDescent="0.3">
      <c r="M100"/>
    </row>
    <row r="101" spans="13:13" x14ac:dyDescent="0.3">
      <c r="M101"/>
    </row>
    <row r="102" spans="13:13" x14ac:dyDescent="0.3">
      <c r="M102"/>
    </row>
    <row r="103" spans="13:13" x14ac:dyDescent="0.3">
      <c r="M103"/>
    </row>
    <row r="104" spans="13:13" x14ac:dyDescent="0.3">
      <c r="M104"/>
    </row>
    <row r="105" spans="13:13" x14ac:dyDescent="0.3">
      <c r="M105"/>
    </row>
    <row r="106" spans="13:13" x14ac:dyDescent="0.3">
      <c r="M106"/>
    </row>
    <row r="107" spans="13:13" x14ac:dyDescent="0.3">
      <c r="M107"/>
    </row>
  </sheetData>
  <sheetProtection algorithmName="SHA-512" hashValue="p6yW0x+BwYpUbB6fSA41pt5THypQqFBgnlWZ0L4ycllVvvGQIdP9ZUIvzl2qdVpAl4r2tomy1YyVtPo6fzXEUg==" saltValue="CCq+UB+7PILKRGblmBHi9g==" spinCount="100000" sheet="1" sort="0" autoFilter="0"/>
  <protectedRanges>
    <protectedRange sqref="F5:F74" name="Диапазон1"/>
    <protectedRange sqref="F5:F89" name="Диапазон2"/>
  </protectedRanges>
  <autoFilter ref="F4:F83" xr:uid="{1DF1F741-A10F-4788-873A-34EDFF9256D2}"/>
  <mergeCells count="15">
    <mergeCell ref="D3:D4"/>
    <mergeCell ref="E3:E4"/>
    <mergeCell ref="F2:F3"/>
    <mergeCell ref="G2:G3"/>
    <mergeCell ref="A2:A4"/>
    <mergeCell ref="B2:C4"/>
    <mergeCell ref="D2:E2"/>
    <mergeCell ref="H2:K2"/>
    <mergeCell ref="L2:O2"/>
    <mergeCell ref="Q2:Q3"/>
    <mergeCell ref="P2:P3"/>
    <mergeCell ref="H3:I3"/>
    <mergeCell ref="L3:M3"/>
    <mergeCell ref="O1:U1"/>
    <mergeCell ref="L1:M1"/>
  </mergeCells>
  <conditionalFormatting sqref="M83:N83 M71:M73 L18:L25 M5:O5 M6:M17 AA65:AD68 M33:M45 N6:O45 J5:K45 J50:K74 AA5:AD60 P18:P45 M50:P68 N69:P74 P5:Q8 P10:Q17 P9 Y5:Y74">
    <cfRule type="cellIs" dxfId="28" priority="72" stopIfTrue="1" operator="equal">
      <formula>0</formula>
    </cfRule>
  </conditionalFormatting>
  <conditionalFormatting sqref="F75:F89">
    <cfRule type="cellIs" dxfId="27" priority="3" operator="equal">
      <formula>0</formula>
    </cfRule>
    <cfRule type="cellIs" dxfId="26" priority="73" stopIfTrue="1" operator="equal">
      <formula>"a"</formula>
    </cfRule>
  </conditionalFormatting>
  <conditionalFormatting sqref="J46:K49 M46:P49">
    <cfRule type="cellIs" dxfId="24" priority="60" stopIfTrue="1" operator="equal">
      <formula>0</formula>
    </cfRule>
  </conditionalFormatting>
  <conditionalFormatting sqref="Q18:Q25">
    <cfRule type="cellIs" dxfId="23" priority="59" stopIfTrue="1" operator="equal">
      <formula>0</formula>
    </cfRule>
  </conditionalFormatting>
  <conditionalFormatting sqref="Q26:Q32">
    <cfRule type="cellIs" dxfId="22" priority="56" stopIfTrue="1" operator="equal">
      <formula>0</formula>
    </cfRule>
  </conditionalFormatting>
  <conditionalFormatting sqref="Q33:Q38">
    <cfRule type="cellIs" dxfId="21" priority="53" stopIfTrue="1" operator="equal">
      <formula>0</formula>
    </cfRule>
  </conditionalFormatting>
  <conditionalFormatting sqref="Q39:Q45">
    <cfRule type="cellIs" dxfId="20" priority="47" stopIfTrue="1" operator="equal">
      <formula>0</formula>
    </cfRule>
  </conditionalFormatting>
  <conditionalFormatting sqref="Q71:Q74">
    <cfRule type="cellIs" dxfId="19" priority="32" stopIfTrue="1" operator="equal">
      <formula>0</formula>
    </cfRule>
  </conditionalFormatting>
  <conditionalFormatting sqref="Q46:Q49">
    <cfRule type="cellIs" dxfId="15" priority="22" stopIfTrue="1" operator="equal">
      <formula>0</formula>
    </cfRule>
  </conditionalFormatting>
  <conditionalFormatting sqref="Q50:Q57">
    <cfRule type="cellIs" dxfId="12" priority="18" stopIfTrue="1" operator="equal">
      <formula>0</formula>
    </cfRule>
  </conditionalFormatting>
  <conditionalFormatting sqref="Q58:Q64">
    <cfRule type="cellIs" dxfId="9" priority="14" stopIfTrue="1" operator="equal">
      <formula>0</formula>
    </cfRule>
  </conditionalFormatting>
  <conditionalFormatting sqref="Q65:Q68">
    <cfRule type="cellIs" dxfId="6" priority="10" stopIfTrue="1" operator="equal">
      <formula>0</formula>
    </cfRule>
  </conditionalFormatting>
  <conditionalFormatting sqref="Q69:Q70">
    <cfRule type="cellIs" dxfId="3" priority="6" stopIfTrue="1" operator="equal">
      <formula>0</formula>
    </cfRule>
  </conditionalFormatting>
  <conditionalFormatting sqref="H78:M81">
    <cfRule type="cellIs" dxfId="1" priority="4" operator="equal">
      <formula>0</formula>
    </cfRule>
  </conditionalFormatting>
  <conditionalFormatting sqref="Q9">
    <cfRule type="cellIs" dxfId="0" priority="1" stopIfTrue="1" operator="equal">
      <formula>0</formula>
    </cfRule>
  </conditionalFormatting>
  <pageMargins left="0.51181102362204722" right="0.31496062992125984" top="0.35433070866141736" bottom="0.35433070866141736" header="0.31496062992125984" footer="0.31496062992125984"/>
  <pageSetup paperSize="9" scale="98" orientation="landscape" r:id="rId1"/>
  <ignoredErrors>
    <ignoredError sqref="A65:A6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DF959-86D6-41B3-9D8B-9937DB7536EC}">
  <dimension ref="A1:R31"/>
  <sheetViews>
    <sheetView zoomScale="90" zoomScaleNormal="90" workbookViewId="0">
      <selection activeCell="C18" sqref="C18"/>
    </sheetView>
  </sheetViews>
  <sheetFormatPr defaultRowHeight="14" x14ac:dyDescent="0.3"/>
  <cols>
    <col min="1" max="1" width="27.83203125" customWidth="1"/>
    <col min="4" max="4" width="7.08203125" style="3" customWidth="1"/>
    <col min="5" max="5" width="9" style="3"/>
    <col min="6" max="6" width="6.08203125" style="3" customWidth="1"/>
    <col min="7" max="7" width="9.5" style="3" bestFit="1" customWidth="1"/>
    <col min="8" max="8" width="8.33203125" style="3" bestFit="1" customWidth="1"/>
    <col min="9" max="10" width="9" style="3"/>
    <col min="11" max="11" width="9.83203125" style="3" customWidth="1"/>
    <col min="12" max="14" width="8.58203125" style="3" customWidth="1"/>
    <col min="15" max="15" width="0" style="3" hidden="1" customWidth="1"/>
    <col min="16" max="18" width="9" style="3"/>
  </cols>
  <sheetData>
    <row r="1" spans="1:16" ht="18.5" x14ac:dyDescent="0.45">
      <c r="A1" s="162" t="s">
        <v>82</v>
      </c>
    </row>
    <row r="2" spans="1:16" x14ac:dyDescent="0.3">
      <c r="A2" s="75" t="s">
        <v>83</v>
      </c>
      <c r="C2" s="163">
        <v>8000</v>
      </c>
    </row>
    <row r="4" spans="1:16" x14ac:dyDescent="0.3">
      <c r="A4" t="s">
        <v>84</v>
      </c>
    </row>
    <row r="5" spans="1:16" x14ac:dyDescent="0.3">
      <c r="A5" s="190" t="s">
        <v>85</v>
      </c>
      <c r="B5" s="191"/>
      <c r="C5" s="164">
        <f>C2-C6</f>
        <v>5600</v>
      </c>
    </row>
    <row r="6" spans="1:16" x14ac:dyDescent="0.3">
      <c r="A6" s="75" t="s">
        <v>86</v>
      </c>
      <c r="B6" s="165">
        <v>0.3</v>
      </c>
      <c r="C6" s="164">
        <f>C2*B6</f>
        <v>2400</v>
      </c>
    </row>
    <row r="7" spans="1:16" x14ac:dyDescent="0.3">
      <c r="A7" s="190" t="s">
        <v>87</v>
      </c>
      <c r="B7" s="191"/>
      <c r="C7" s="163">
        <v>650</v>
      </c>
    </row>
    <row r="8" spans="1:16" x14ac:dyDescent="0.3">
      <c r="A8" s="190" t="s">
        <v>88</v>
      </c>
      <c r="B8" s="191"/>
      <c r="C8" s="163">
        <v>3760</v>
      </c>
    </row>
    <row r="10" spans="1:16" x14ac:dyDescent="0.3">
      <c r="A10" s="190" t="s">
        <v>89</v>
      </c>
      <c r="B10" s="191"/>
      <c r="C10" s="163">
        <v>6800</v>
      </c>
    </row>
    <row r="11" spans="1:16" x14ac:dyDescent="0.3">
      <c r="A11" s="190" t="s">
        <v>90</v>
      </c>
      <c r="B11" s="191"/>
      <c r="C11" s="163">
        <v>7700</v>
      </c>
    </row>
    <row r="12" spans="1:16" x14ac:dyDescent="0.3">
      <c r="A12" s="190" t="s">
        <v>91</v>
      </c>
      <c r="B12" s="191"/>
      <c r="C12" s="163">
        <v>1310</v>
      </c>
      <c r="D12" s="166" t="s">
        <v>92</v>
      </c>
      <c r="G12" s="167" t="s">
        <v>93</v>
      </c>
      <c r="H12" s="166" t="s">
        <v>94</v>
      </c>
      <c r="L12" s="167">
        <v>1</v>
      </c>
      <c r="M12" s="167">
        <v>2</v>
      </c>
      <c r="N12" s="167">
        <v>3</v>
      </c>
    </row>
    <row r="13" spans="1:16" ht="14.5" x14ac:dyDescent="0.35">
      <c r="D13" s="3" t="s">
        <v>95</v>
      </c>
      <c r="E13" s="168">
        <f>C5</f>
        <v>5600</v>
      </c>
      <c r="H13" s="168">
        <f>C6</f>
        <v>2400</v>
      </c>
      <c r="P13" s="120"/>
    </row>
    <row r="14" spans="1:16" x14ac:dyDescent="0.3">
      <c r="A14" s="190" t="s">
        <v>96</v>
      </c>
      <c r="B14" s="191"/>
      <c r="C14" s="163">
        <v>12000</v>
      </c>
      <c r="E14" s="166" t="s">
        <v>97</v>
      </c>
      <c r="G14" s="169">
        <f>C10*C12/C11</f>
        <v>1156.8831168831168</v>
      </c>
    </row>
    <row r="15" spans="1:16" x14ac:dyDescent="0.3">
      <c r="A15" s="190" t="s">
        <v>98</v>
      </c>
      <c r="B15" s="191"/>
      <c r="C15" s="163">
        <v>13620</v>
      </c>
      <c r="E15" s="169">
        <f>G14*C7/C8</f>
        <v>199.99309201436861</v>
      </c>
      <c r="H15" s="169">
        <f>G14*(C8-C7)/C8</f>
        <v>956.89002486874824</v>
      </c>
      <c r="I15" s="120"/>
      <c r="M15" s="167" t="s">
        <v>99</v>
      </c>
    </row>
    <row r="16" spans="1:16" ht="14.5" x14ac:dyDescent="0.35">
      <c r="E16" s="170">
        <f>SUM(E13:E15)</f>
        <v>5799.9930920143688</v>
      </c>
      <c r="H16" s="170">
        <f>SUM(H13:H15)</f>
        <v>3356.8900248687482</v>
      </c>
      <c r="I16" s="120"/>
      <c r="L16" s="169">
        <f>M16</f>
        <v>1881.0389610389611</v>
      </c>
      <c r="M16" s="169">
        <f>(C10*(C11-C12)/C11)/3</f>
        <v>1881.0389610389611</v>
      </c>
      <c r="N16" s="169">
        <f>M16</f>
        <v>1881.0389610389611</v>
      </c>
      <c r="P16" s="120"/>
    </row>
    <row r="17" spans="1:17" x14ac:dyDescent="0.3">
      <c r="B17" s="1" t="s">
        <v>100</v>
      </c>
      <c r="C17" s="1" t="s">
        <v>101</v>
      </c>
    </row>
    <row r="18" spans="1:17" x14ac:dyDescent="0.3">
      <c r="A18" s="2" t="s">
        <v>102</v>
      </c>
      <c r="B18" s="171"/>
      <c r="C18" s="171"/>
      <c r="E18" s="166" t="s">
        <v>103</v>
      </c>
      <c r="G18" s="169">
        <f>(веспр*осьпр+вес1*O22+вес2*O23+вес3*O24+вес4*O25+вес5*O26+вес6*O27+вес7*O28+вес8*O29+вес9*O30+вес10*O31)/база</f>
        <v>1156.8831168831168</v>
      </c>
    </row>
    <row r="19" spans="1:17" x14ac:dyDescent="0.3">
      <c r="A19" s="2" t="s">
        <v>104</v>
      </c>
      <c r="B19" s="171"/>
      <c r="C19" s="171"/>
      <c r="E19" s="169">
        <f>G18*седло/базатяг</f>
        <v>199.99309201436861</v>
      </c>
      <c r="H19" s="169">
        <f>G18*(базатяг-седло)/базатяг</f>
        <v>956.89002486874824</v>
      </c>
      <c r="M19" s="120">
        <f>(вес1+вес2+вес3+вес4+вес5+вес6+вес7+вес8+вес9+вес10+веспр-G18)</f>
        <v>5643.1168831168834</v>
      </c>
    </row>
    <row r="20" spans="1:17" ht="15.5" x14ac:dyDescent="0.35">
      <c r="A20" s="2" t="s">
        <v>105</v>
      </c>
      <c r="B20" s="171"/>
      <c r="C20" s="171"/>
      <c r="E20" s="172">
        <f>E13+E19</f>
        <v>5799.9930920143688</v>
      </c>
      <c r="F20" s="173"/>
      <c r="G20" s="173"/>
      <c r="H20" s="172">
        <f>H13+H19</f>
        <v>3356.8900248687482</v>
      </c>
      <c r="L20" s="172">
        <f>M20</f>
        <v>1881.0389610389611</v>
      </c>
      <c r="M20" s="172">
        <f>(вес1+вес2+вес3+вес4+вес5+вес6+вес7+вес8+вес9+вес10+веспр-G18)/3</f>
        <v>1881.0389610389611</v>
      </c>
      <c r="N20" s="172">
        <f>M20</f>
        <v>1881.0389610389611</v>
      </c>
      <c r="P20" s="120"/>
      <c r="Q20" s="120"/>
    </row>
    <row r="21" spans="1:17" x14ac:dyDescent="0.3">
      <c r="A21" s="2" t="s">
        <v>106</v>
      </c>
      <c r="B21" s="171"/>
      <c r="C21" s="171"/>
    </row>
    <row r="22" spans="1:17" x14ac:dyDescent="0.3">
      <c r="A22" s="2" t="s">
        <v>107</v>
      </c>
      <c r="B22" s="171"/>
      <c r="C22" s="171"/>
      <c r="O22" s="3">
        <f>база-шквзт+длинаПП-дл1*1000/2</f>
        <v>9320</v>
      </c>
    </row>
    <row r="23" spans="1:17" x14ac:dyDescent="0.3">
      <c r="A23" s="2" t="s">
        <v>108</v>
      </c>
      <c r="B23" s="171"/>
      <c r="C23" s="171"/>
      <c r="O23" s="3">
        <f>база-шквзт+длинаПП-дл1*1000-дл2*1000/2</f>
        <v>9320</v>
      </c>
    </row>
    <row r="24" spans="1:17" x14ac:dyDescent="0.3">
      <c r="A24" s="2" t="s">
        <v>109</v>
      </c>
      <c r="B24" s="171"/>
      <c r="C24" s="171"/>
      <c r="O24" s="3">
        <f>база-шквзт+длинаПП-дл1*1000-дл2*1000-дл3*1000/2</f>
        <v>9320</v>
      </c>
    </row>
    <row r="25" spans="1:17" x14ac:dyDescent="0.3">
      <c r="A25" s="2" t="s">
        <v>110</v>
      </c>
      <c r="B25" s="171"/>
      <c r="C25" s="171"/>
      <c r="O25" s="3">
        <f>база-шквзт+длинаПП-дл1*1000-дл2*1000-дл3*1000-дл4*1000/2</f>
        <v>9320</v>
      </c>
    </row>
    <row r="26" spans="1:17" x14ac:dyDescent="0.3">
      <c r="A26" s="2" t="s">
        <v>111</v>
      </c>
      <c r="B26" s="171"/>
      <c r="C26" s="171"/>
      <c r="E26" s="192" t="s">
        <v>112</v>
      </c>
      <c r="F26" s="192"/>
      <c r="G26" s="192"/>
      <c r="H26" s="192"/>
      <c r="I26" s="192"/>
      <c r="J26" s="192"/>
      <c r="K26" s="192"/>
      <c r="L26" s="192"/>
      <c r="M26" s="192"/>
      <c r="N26" s="192"/>
      <c r="O26" s="3">
        <f>база-шквзт+длинаПП-дл1*1000-дл2*1000-дл3*1000-дл4*1000-дл5*1000/2</f>
        <v>9320</v>
      </c>
    </row>
    <row r="27" spans="1:17" ht="15" customHeight="1" x14ac:dyDescent="0.3">
      <c r="A27" s="2" t="s">
        <v>113</v>
      </c>
      <c r="B27" s="171"/>
      <c r="C27" s="171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3">
        <f>база-шквзт+длинаПП-дл1*1000-дл2*1000-дл3*1000-дл4*1000-дл5*1000-дл6*1000/2</f>
        <v>9320</v>
      </c>
    </row>
    <row r="28" spans="1:17" x14ac:dyDescent="0.3">
      <c r="A28" s="3"/>
      <c r="B28" s="174">
        <f>SUM(B18:B27)</f>
        <v>0</v>
      </c>
      <c r="C28" s="174">
        <f>SUM(C18:C27)</f>
        <v>0</v>
      </c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3">
        <f>база-шквзт+длинаПП-дл1*1000-дл2*1000-дл3*1000-дл4*1000-дл5*1000-дл6*1000-дл7*1000/2</f>
        <v>9320</v>
      </c>
    </row>
    <row r="29" spans="1:17" x14ac:dyDescent="0.3">
      <c r="A29" s="175" t="s">
        <v>114</v>
      </c>
      <c r="B29" s="3"/>
      <c r="C29" s="3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3">
        <f>база-шквзт+длинаПП-дл1*1000-дл2*1000-дл3*1000-дл4*1000-дл5*1000-дл6*1000-дл7*1000-дл8*1000/2</f>
        <v>9320</v>
      </c>
    </row>
    <row r="30" spans="1:17" x14ac:dyDescent="0.3">
      <c r="A30" s="3"/>
      <c r="B30" s="3"/>
      <c r="C30" s="3"/>
      <c r="O30" s="3">
        <f>база-шквзт+длинаПП-дл1*1000-дл2*1000-дл3*1000-дл4*1000-дл5*1000-дл6*1000-дл7*1000-дл8*1000-дл9*1000/2</f>
        <v>9320</v>
      </c>
    </row>
    <row r="31" spans="1:17" x14ac:dyDescent="0.3">
      <c r="O31" s="3">
        <f>база-шквзт+длинаПП-дл1*1000-дл2*1000-дл3*1000-дл4*1000-дл5*1000-дл6*1000-дл7*1000-дл8*1000-дл9*1000-дл10*1000/2</f>
        <v>9320</v>
      </c>
    </row>
  </sheetData>
  <sheetProtection algorithmName="SHA-512" hashValue="nl+xyyvb+6SeqzSs6GP/q2gP1rXttXkfhfZ9+XX1wSxHn/aefd/8BmPebE0AOBpO9v3VHYiQtuR4PyJRXd4ZOQ==" saltValue="t9H0yyZftvY3eapWx3oI7Q==" spinCount="100000" sheet="1" objects="1" scenarios="1"/>
  <mergeCells count="9">
    <mergeCell ref="A14:B14"/>
    <mergeCell ref="A15:B15"/>
    <mergeCell ref="E26:N29"/>
    <mergeCell ref="A5:B5"/>
    <mergeCell ref="A7:B7"/>
    <mergeCell ref="A8:B8"/>
    <mergeCell ref="A10:B10"/>
    <mergeCell ref="A11:B11"/>
    <mergeCell ref="A12:B1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27</vt:i4>
      </vt:variant>
    </vt:vector>
  </HeadingPairs>
  <TitlesOfParts>
    <vt:vector size="29" baseType="lpstr">
      <vt:lpstr>Расчёт Sanco Wicu</vt:lpstr>
      <vt:lpstr>Нагрузка на оси</vt:lpstr>
      <vt:lpstr>база</vt:lpstr>
      <vt:lpstr>базатяг</vt:lpstr>
      <vt:lpstr>вес1</vt:lpstr>
      <vt:lpstr>вес10</vt:lpstr>
      <vt:lpstr>вес2</vt:lpstr>
      <vt:lpstr>вес3</vt:lpstr>
      <vt:lpstr>вес4</vt:lpstr>
      <vt:lpstr>вес5</vt:lpstr>
      <vt:lpstr>вес6</vt:lpstr>
      <vt:lpstr>вес7</vt:lpstr>
      <vt:lpstr>вес8</vt:lpstr>
      <vt:lpstr>вес9</vt:lpstr>
      <vt:lpstr>веспр</vt:lpstr>
      <vt:lpstr>дл1</vt:lpstr>
      <vt:lpstr>дл10</vt:lpstr>
      <vt:lpstr>дл2</vt:lpstr>
      <vt:lpstr>дл3</vt:lpstr>
      <vt:lpstr>дл4</vt:lpstr>
      <vt:lpstr>дл5</vt:lpstr>
      <vt:lpstr>дл6</vt:lpstr>
      <vt:lpstr>дл7</vt:lpstr>
      <vt:lpstr>дл8</vt:lpstr>
      <vt:lpstr>дл9</vt:lpstr>
      <vt:lpstr>длинаПП</vt:lpstr>
      <vt:lpstr>осьпр</vt:lpstr>
      <vt:lpstr>седло</vt:lpstr>
      <vt:lpstr>шквзт</vt:lpstr>
    </vt:vector>
  </TitlesOfParts>
  <Company>KME Representant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Vinogradov</dc:creator>
  <cp:lastModifiedBy>Andrey</cp:lastModifiedBy>
  <cp:lastPrinted>2020-06-25T10:00:34Z</cp:lastPrinted>
  <dcterms:created xsi:type="dcterms:W3CDTF">2014-10-22T09:02:49Z</dcterms:created>
  <dcterms:modified xsi:type="dcterms:W3CDTF">2020-06-25T10:11:19Z</dcterms:modified>
</cp:coreProperties>
</file>